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fileSharing readOnlyRecommended="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450c212ae32a46/"/>
    </mc:Choice>
  </mc:AlternateContent>
  <xr:revisionPtr revIDLastSave="0" documentId="8_{25262735-61AF-483F-8D8A-0CBDD4BC1E3D}" xr6:coauthVersionLast="47" xr6:coauthVersionMax="47" xr10:uidLastSave="{00000000-0000-0000-0000-000000000000}"/>
  <bookViews>
    <workbookView xWindow="-108" yWindow="-108" windowWidth="19416" windowHeight="10416" tabRatio="973" firstSheet="2" activeTab="2" xr2:uid="{8D51CB8E-B61C-4082-B71D-4D71186E217C}"/>
  </bookViews>
  <sheets>
    <sheet name="kupci" sheetId="1" r:id="rId1"/>
    <sheet name="kif to eKif" sheetId="27" r:id="rId2"/>
    <sheet name="eKif final" sheetId="28" r:id="rId3"/>
    <sheet name="UPUTSTVO" sheetId="29" r:id="rId4"/>
    <sheet name="artikli" sheetId="2" r:id="rId5"/>
    <sheet name="POSArtikli" sheetId="26" r:id="rId6"/>
    <sheet name="Za KIF-a" sheetId="5" r:id="rId7"/>
    <sheet name="Za fakturisanje" sheetId="3" r:id="rId8"/>
    <sheet name="KIF" sheetId="25" r:id="rId9"/>
    <sheet name="Fak1" sheetId="4" r:id="rId10"/>
    <sheet name="Fak2" sheetId="6" r:id="rId11"/>
    <sheet name="Fak3" sheetId="7" r:id="rId12"/>
    <sheet name="Fak4" sheetId="8" r:id="rId13"/>
    <sheet name="Fak5" sheetId="9" r:id="rId14"/>
    <sheet name="Fak6" sheetId="11" r:id="rId15"/>
    <sheet name="Fak7" sheetId="12" r:id="rId16"/>
    <sheet name="Fak8" sheetId="13" r:id="rId17"/>
    <sheet name="Fak9" sheetId="14" r:id="rId18"/>
    <sheet name="Fak10" sheetId="15" r:id="rId19"/>
    <sheet name="Fak11" sheetId="16" r:id="rId20"/>
    <sheet name="Fak12" sheetId="17" r:id="rId21"/>
    <sheet name="Fak13" sheetId="18" r:id="rId22"/>
    <sheet name="Fak14" sheetId="19" r:id="rId23"/>
    <sheet name="Fak15" sheetId="20" r:id="rId24"/>
    <sheet name="Fak16" sheetId="21" r:id="rId25"/>
    <sheet name="Fak17" sheetId="22" r:id="rId26"/>
    <sheet name="Fak18" sheetId="23" r:id="rId27"/>
    <sheet name="Fak19" sheetId="24" r:id="rId28"/>
  </sheets>
  <externalReferences>
    <externalReference r:id="rId29"/>
  </externalReferences>
  <definedNames>
    <definedName name="_xlnm._FilterDatabase" localSheetId="8" hidden="1">KIF!$A$1:$A$416</definedName>
    <definedName name="artikli">artikli!$A:$D</definedName>
    <definedName name="extended_sifre">[1]artikli!$B:$B</definedName>
    <definedName name="isporuka">kupci!$A:$A</definedName>
    <definedName name="kupciInfoKif">kupci!$A:$K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8" l="1"/>
  <c r="G4" i="28"/>
  <c r="G5" i="28"/>
  <c r="G6" i="28"/>
  <c r="G7" i="28"/>
  <c r="G8" i="28"/>
  <c r="G9" i="28"/>
  <c r="G10" i="28"/>
  <c r="G11" i="28"/>
  <c r="G12" i="28"/>
  <c r="G13" i="28"/>
  <c r="G14" i="28"/>
  <c r="G15" i="28"/>
  <c r="G16" i="28"/>
  <c r="G17" i="28"/>
  <c r="G18" i="28"/>
  <c r="G19" i="28"/>
  <c r="G20" i="28"/>
  <c r="G21" i="28"/>
  <c r="G22" i="28"/>
  <c r="G23" i="28"/>
  <c r="G24" i="28"/>
  <c r="G25" i="28"/>
  <c r="G26" i="28"/>
  <c r="G27" i="28"/>
  <c r="G28" i="28"/>
  <c r="G29" i="28"/>
  <c r="G30" i="28"/>
  <c r="G31" i="28"/>
  <c r="G32" i="28"/>
  <c r="G33" i="28"/>
  <c r="G34" i="28"/>
  <c r="G35" i="28"/>
  <c r="G36" i="28"/>
  <c r="G37" i="28"/>
  <c r="G38" i="28"/>
  <c r="G39" i="28"/>
  <c r="G40" i="28"/>
  <c r="G41" i="28"/>
  <c r="G42" i="28"/>
  <c r="G43" i="28"/>
  <c r="G44" i="28"/>
  <c r="G45" i="28"/>
  <c r="G46" i="28"/>
  <c r="G47" i="28"/>
  <c r="G48" i="28"/>
  <c r="G49" i="28"/>
  <c r="G50" i="28"/>
  <c r="G51" i="28"/>
  <c r="G52" i="28"/>
  <c r="G53" i="28"/>
  <c r="G54" i="28"/>
  <c r="G55" i="28"/>
  <c r="G56" i="28"/>
  <c r="G57" i="28"/>
  <c r="G58" i="28"/>
  <c r="G59" i="28"/>
  <c r="G60" i="28"/>
  <c r="G61" i="28"/>
  <c r="G62" i="28"/>
  <c r="G63" i="28"/>
  <c r="G64" i="28"/>
  <c r="G65" i="28"/>
  <c r="G66" i="28"/>
  <c r="G67" i="28"/>
  <c r="G68" i="28"/>
  <c r="G69" i="28"/>
  <c r="G70" i="28"/>
  <c r="G71" i="28"/>
  <c r="G72" i="28"/>
  <c r="G73" i="28"/>
  <c r="G74" i="28"/>
  <c r="G75" i="28"/>
  <c r="G76" i="28"/>
  <c r="G77" i="28"/>
  <c r="G78" i="28"/>
  <c r="G79" i="28"/>
  <c r="G80" i="28"/>
  <c r="G81" i="28"/>
  <c r="G82" i="28"/>
  <c r="G83" i="28"/>
  <c r="G84" i="28"/>
  <c r="G85" i="28"/>
  <c r="G86" i="28"/>
  <c r="G87" i="28"/>
  <c r="G88" i="28"/>
  <c r="G89" i="28"/>
  <c r="G90" i="28"/>
  <c r="G91" i="28"/>
  <c r="G92" i="28"/>
  <c r="G93" i="28"/>
  <c r="G94" i="28"/>
  <c r="G95" i="28"/>
  <c r="F870" i="25"/>
  <c r="E870" i="25"/>
  <c r="H15" i="28"/>
  <c r="G790" i="25"/>
  <c r="E790" i="25"/>
  <c r="F790" i="25"/>
  <c r="E724" i="25"/>
  <c r="G724" i="25"/>
  <c r="F724" i="25"/>
  <c r="E640" i="25"/>
  <c r="G640" i="25"/>
  <c r="F640" i="25"/>
  <c r="G572" i="25"/>
  <c r="F572" i="25"/>
  <c r="E572" i="25"/>
  <c r="E502" i="25"/>
  <c r="F502" i="25"/>
  <c r="F179" i="25" l="1"/>
  <c r="F45" i="25"/>
  <c r="E45" i="25"/>
  <c r="E90" i="25"/>
  <c r="E179" i="25"/>
  <c r="F422" i="25"/>
  <c r="E422" i="25"/>
  <c r="F360" i="25" l="1"/>
  <c r="E360" i="25"/>
  <c r="P3" i="28"/>
  <c r="P4" i="28"/>
  <c r="P5" i="28"/>
  <c r="P6" i="28"/>
  <c r="P7" i="28"/>
  <c r="P8" i="28"/>
  <c r="P9" i="28"/>
  <c r="P10" i="28"/>
  <c r="P11" i="28"/>
  <c r="P12" i="28"/>
  <c r="P13" i="28"/>
  <c r="P14" i="28"/>
  <c r="P15" i="28"/>
  <c r="P16" i="28"/>
  <c r="P17" i="28"/>
  <c r="P18" i="28"/>
  <c r="P19" i="28"/>
  <c r="P20" i="28"/>
  <c r="P21" i="28"/>
  <c r="P22" i="28"/>
  <c r="P23" i="28"/>
  <c r="P24" i="28"/>
  <c r="P25" i="28"/>
  <c r="P26" i="28"/>
  <c r="P27" i="28"/>
  <c r="P28" i="28"/>
  <c r="P29" i="28"/>
  <c r="P30" i="28"/>
  <c r="P31" i="28"/>
  <c r="P32" i="28"/>
  <c r="P33" i="28"/>
  <c r="P34" i="28"/>
  <c r="P35" i="28"/>
  <c r="P36" i="28"/>
  <c r="P37" i="28"/>
  <c r="P38" i="28"/>
  <c r="P39" i="28"/>
  <c r="P40" i="28"/>
  <c r="P41" i="28"/>
  <c r="P42" i="28"/>
  <c r="P43" i="28"/>
  <c r="P44" i="28"/>
  <c r="P45" i="28"/>
  <c r="P46" i="28"/>
  <c r="P47" i="28"/>
  <c r="P48" i="28"/>
  <c r="P49" i="28"/>
  <c r="P50" i="28"/>
  <c r="P51" i="28"/>
  <c r="P52" i="28"/>
  <c r="P53" i="28"/>
  <c r="P54" i="28"/>
  <c r="P55" i="28"/>
  <c r="P56" i="28"/>
  <c r="P57" i="28"/>
  <c r="P58" i="28"/>
  <c r="P59" i="28"/>
  <c r="P60" i="28"/>
  <c r="P61" i="28"/>
  <c r="P62" i="28"/>
  <c r="P63" i="28"/>
  <c r="P64" i="28"/>
  <c r="P65" i="28"/>
  <c r="P66" i="28"/>
  <c r="P67" i="28"/>
  <c r="P68" i="28"/>
  <c r="P69" i="28"/>
  <c r="P70" i="28"/>
  <c r="P71" i="28"/>
  <c r="P72" i="28"/>
  <c r="P73" i="28"/>
  <c r="P74" i="28"/>
  <c r="P75" i="28"/>
  <c r="P76" i="28"/>
  <c r="P77" i="28"/>
  <c r="P78" i="28"/>
  <c r="P79" i="28"/>
  <c r="P80" i="28"/>
  <c r="P81" i="28"/>
  <c r="P82" i="28"/>
  <c r="P83" i="28"/>
  <c r="P2" i="28"/>
  <c r="O3" i="28"/>
  <c r="O4" i="28"/>
  <c r="O5" i="28"/>
  <c r="O6" i="28"/>
  <c r="O7" i="28"/>
  <c r="O8" i="28"/>
  <c r="O9" i="28"/>
  <c r="O10" i="28"/>
  <c r="O11" i="28"/>
  <c r="O12" i="28"/>
  <c r="O13" i="28"/>
  <c r="O14" i="28"/>
  <c r="O15" i="28"/>
  <c r="O16" i="28"/>
  <c r="O17" i="28"/>
  <c r="O18" i="28"/>
  <c r="O19" i="28"/>
  <c r="O20" i="28"/>
  <c r="O21" i="28"/>
  <c r="O22" i="28"/>
  <c r="O23" i="28"/>
  <c r="O24" i="28"/>
  <c r="O25" i="28"/>
  <c r="O26" i="28"/>
  <c r="O27" i="28"/>
  <c r="O28" i="28"/>
  <c r="O29" i="28"/>
  <c r="O30" i="28"/>
  <c r="O31" i="28"/>
  <c r="O32" i="28"/>
  <c r="O33" i="28"/>
  <c r="O34" i="28"/>
  <c r="O35" i="28"/>
  <c r="O36" i="28"/>
  <c r="O37" i="28"/>
  <c r="O38" i="28"/>
  <c r="O39" i="28"/>
  <c r="O40" i="28"/>
  <c r="O41" i="28"/>
  <c r="O42" i="28"/>
  <c r="O43" i="28"/>
  <c r="O44" i="28"/>
  <c r="O45" i="28"/>
  <c r="O46" i="28"/>
  <c r="O47" i="28"/>
  <c r="O48" i="28"/>
  <c r="O49" i="28"/>
  <c r="O50" i="28"/>
  <c r="O51" i="28"/>
  <c r="O52" i="28"/>
  <c r="O53" i="28"/>
  <c r="O54" i="28"/>
  <c r="O55" i="28"/>
  <c r="O56" i="28"/>
  <c r="O57" i="28"/>
  <c r="O58" i="28"/>
  <c r="O59" i="28"/>
  <c r="O60" i="28"/>
  <c r="O61" i="28"/>
  <c r="O62" i="28"/>
  <c r="O63" i="28"/>
  <c r="O64" i="28"/>
  <c r="O65" i="28"/>
  <c r="O66" i="28"/>
  <c r="O67" i="28"/>
  <c r="O68" i="28"/>
  <c r="O69" i="28"/>
  <c r="O70" i="28"/>
  <c r="O71" i="28"/>
  <c r="O72" i="28"/>
  <c r="O73" i="28"/>
  <c r="O74" i="28"/>
  <c r="O75" i="28"/>
  <c r="O76" i="28"/>
  <c r="O77" i="28"/>
  <c r="O78" i="28"/>
  <c r="O79" i="28"/>
  <c r="O80" i="28"/>
  <c r="O81" i="28"/>
  <c r="O82" i="28"/>
  <c r="O83" i="28"/>
  <c r="O2" i="28"/>
  <c r="K3" i="28"/>
  <c r="K4" i="28"/>
  <c r="K5" i="28"/>
  <c r="K6" i="28"/>
  <c r="K7" i="28"/>
  <c r="K8" i="28"/>
  <c r="K9" i="28"/>
  <c r="K10" i="28"/>
  <c r="K11" i="28"/>
  <c r="K12" i="28"/>
  <c r="K13" i="28"/>
  <c r="K14" i="28"/>
  <c r="K15" i="28"/>
  <c r="K16" i="28"/>
  <c r="K17" i="28"/>
  <c r="K18" i="28"/>
  <c r="K19" i="28"/>
  <c r="K20" i="28"/>
  <c r="K21" i="28"/>
  <c r="K22" i="28"/>
  <c r="K23" i="28"/>
  <c r="K24" i="28"/>
  <c r="K25" i="28"/>
  <c r="K26" i="28"/>
  <c r="K27" i="28"/>
  <c r="K28" i="28"/>
  <c r="K29" i="28"/>
  <c r="K30" i="28"/>
  <c r="K31" i="28"/>
  <c r="K32" i="28"/>
  <c r="K33" i="28"/>
  <c r="K34" i="28"/>
  <c r="K35" i="28"/>
  <c r="K36" i="28"/>
  <c r="K37" i="28"/>
  <c r="K38" i="28"/>
  <c r="K39" i="28"/>
  <c r="K40" i="28"/>
  <c r="K41" i="28"/>
  <c r="K42" i="28"/>
  <c r="K43" i="28"/>
  <c r="K44" i="28"/>
  <c r="K45" i="28"/>
  <c r="K46" i="28"/>
  <c r="K47" i="28"/>
  <c r="K48" i="28"/>
  <c r="K49" i="28"/>
  <c r="K50" i="28"/>
  <c r="K51" i="28"/>
  <c r="K52" i="28"/>
  <c r="K53" i="28"/>
  <c r="K54" i="28"/>
  <c r="K55" i="28"/>
  <c r="K56" i="28"/>
  <c r="K57" i="28"/>
  <c r="K58" i="28"/>
  <c r="K59" i="28"/>
  <c r="K60" i="28"/>
  <c r="K61" i="28"/>
  <c r="K62" i="28"/>
  <c r="K63" i="28"/>
  <c r="K64" i="28"/>
  <c r="K65" i="28"/>
  <c r="K66" i="28"/>
  <c r="K67" i="28"/>
  <c r="K68" i="28"/>
  <c r="K69" i="28"/>
  <c r="K70" i="28"/>
  <c r="K71" i="28"/>
  <c r="K72" i="28"/>
  <c r="K73" i="28"/>
  <c r="K74" i="28"/>
  <c r="K75" i="28"/>
  <c r="K76" i="28"/>
  <c r="K77" i="28"/>
  <c r="K78" i="28"/>
  <c r="K79" i="28"/>
  <c r="K80" i="28"/>
  <c r="K81" i="28"/>
  <c r="K82" i="28"/>
  <c r="K83" i="28"/>
  <c r="K2" i="28"/>
  <c r="J3" i="28"/>
  <c r="J4" i="28"/>
  <c r="J5" i="28"/>
  <c r="J6" i="28"/>
  <c r="J7" i="28"/>
  <c r="J8" i="28"/>
  <c r="J9" i="28"/>
  <c r="J10" i="28"/>
  <c r="J11" i="28"/>
  <c r="J12" i="28"/>
  <c r="J13" i="28"/>
  <c r="J14" i="28"/>
  <c r="J15" i="28"/>
  <c r="J16" i="28"/>
  <c r="J17" i="28"/>
  <c r="J18" i="28"/>
  <c r="J19" i="28"/>
  <c r="J20" i="28"/>
  <c r="J21" i="28"/>
  <c r="J22" i="28"/>
  <c r="J23" i="28"/>
  <c r="J24" i="28"/>
  <c r="J25" i="28"/>
  <c r="J26" i="28"/>
  <c r="J27" i="28"/>
  <c r="J28" i="28"/>
  <c r="J29" i="28"/>
  <c r="J30" i="28"/>
  <c r="J31" i="28"/>
  <c r="J32" i="28"/>
  <c r="J33" i="28"/>
  <c r="J34" i="28"/>
  <c r="J35" i="28"/>
  <c r="J36" i="28"/>
  <c r="J37" i="28"/>
  <c r="J38" i="28"/>
  <c r="J39" i="28"/>
  <c r="J40" i="28"/>
  <c r="J41" i="28"/>
  <c r="J42" i="28"/>
  <c r="J43" i="28"/>
  <c r="J44" i="28"/>
  <c r="J45" i="28"/>
  <c r="J46" i="28"/>
  <c r="J47" i="28"/>
  <c r="J48" i="28"/>
  <c r="J49" i="28"/>
  <c r="J50" i="28"/>
  <c r="J51" i="28"/>
  <c r="J52" i="28"/>
  <c r="J53" i="28"/>
  <c r="J54" i="28"/>
  <c r="J55" i="28"/>
  <c r="J56" i="28"/>
  <c r="J57" i="28"/>
  <c r="J58" i="28"/>
  <c r="J59" i="28"/>
  <c r="J60" i="28"/>
  <c r="J61" i="28"/>
  <c r="J62" i="28"/>
  <c r="J63" i="28"/>
  <c r="J64" i="28"/>
  <c r="J65" i="28"/>
  <c r="J66" i="28"/>
  <c r="J67" i="28"/>
  <c r="J68" i="28"/>
  <c r="J69" i="28"/>
  <c r="J70" i="28"/>
  <c r="J71" i="28"/>
  <c r="J72" i="28"/>
  <c r="J73" i="28"/>
  <c r="J74" i="28"/>
  <c r="J75" i="28"/>
  <c r="J76" i="28"/>
  <c r="J77" i="28"/>
  <c r="J78" i="28"/>
  <c r="J79" i="28"/>
  <c r="J80" i="28"/>
  <c r="J81" i="28"/>
  <c r="J82" i="28"/>
  <c r="J83" i="28"/>
  <c r="J2" i="28"/>
  <c r="I3" i="28"/>
  <c r="I4" i="28"/>
  <c r="I5" i="28"/>
  <c r="I6" i="28"/>
  <c r="I7" i="28"/>
  <c r="I8" i="28"/>
  <c r="I9" i="28"/>
  <c r="I10" i="28"/>
  <c r="I11" i="28"/>
  <c r="I12" i="28"/>
  <c r="I13" i="28"/>
  <c r="I14" i="28"/>
  <c r="I15" i="28"/>
  <c r="I16" i="28"/>
  <c r="I17" i="28"/>
  <c r="I18" i="28"/>
  <c r="I19" i="28"/>
  <c r="I20" i="28"/>
  <c r="I21" i="28"/>
  <c r="I22" i="28"/>
  <c r="I23" i="28"/>
  <c r="I24" i="28"/>
  <c r="I25" i="28"/>
  <c r="I26" i="28"/>
  <c r="I27" i="28"/>
  <c r="I28" i="28"/>
  <c r="I29" i="28"/>
  <c r="I30" i="28"/>
  <c r="I31" i="28"/>
  <c r="I32" i="28"/>
  <c r="I33" i="28"/>
  <c r="I34" i="28"/>
  <c r="I35" i="28"/>
  <c r="I36" i="28"/>
  <c r="I37" i="28"/>
  <c r="I38" i="28"/>
  <c r="I39" i="28"/>
  <c r="I40" i="28"/>
  <c r="I41" i="28"/>
  <c r="I42" i="28"/>
  <c r="I43" i="28"/>
  <c r="I44" i="28"/>
  <c r="I45" i="28"/>
  <c r="I46" i="28"/>
  <c r="I47" i="28"/>
  <c r="I48" i="28"/>
  <c r="I49" i="28"/>
  <c r="I50" i="28"/>
  <c r="I51" i="28"/>
  <c r="I52" i="28"/>
  <c r="I53" i="28"/>
  <c r="I54" i="28"/>
  <c r="I55" i="28"/>
  <c r="I56" i="28"/>
  <c r="I57" i="28"/>
  <c r="I58" i="28"/>
  <c r="I59" i="28"/>
  <c r="I60" i="28"/>
  <c r="I61" i="28"/>
  <c r="I62" i="28"/>
  <c r="I63" i="28"/>
  <c r="I64" i="28"/>
  <c r="I65" i="28"/>
  <c r="I66" i="28"/>
  <c r="I67" i="28"/>
  <c r="I68" i="28"/>
  <c r="I69" i="28"/>
  <c r="I70" i="28"/>
  <c r="I71" i="28"/>
  <c r="I72" i="28"/>
  <c r="I73" i="28"/>
  <c r="I74" i="28"/>
  <c r="I75" i="28"/>
  <c r="I76" i="28"/>
  <c r="I77" i="28"/>
  <c r="I78" i="28"/>
  <c r="I79" i="28"/>
  <c r="I80" i="28"/>
  <c r="I81" i="28"/>
  <c r="I82" i="28"/>
  <c r="I83" i="28"/>
  <c r="I2" i="28"/>
  <c r="H3" i="28"/>
  <c r="H4" i="28"/>
  <c r="H5" i="28"/>
  <c r="H6" i="28"/>
  <c r="H7" i="28"/>
  <c r="H8" i="28"/>
  <c r="H9" i="28"/>
  <c r="H10" i="28"/>
  <c r="H11" i="28"/>
  <c r="H12" i="28"/>
  <c r="H13" i="28"/>
  <c r="H14" i="28"/>
  <c r="H16" i="28"/>
  <c r="H17" i="28"/>
  <c r="H18" i="28"/>
  <c r="H19" i="28"/>
  <c r="H20" i="28"/>
  <c r="H21" i="28"/>
  <c r="H22" i="28"/>
  <c r="H23" i="28"/>
  <c r="H24" i="28"/>
  <c r="H25" i="28"/>
  <c r="H26" i="28"/>
  <c r="H27" i="28"/>
  <c r="H28" i="28"/>
  <c r="H29" i="28"/>
  <c r="H30" i="28"/>
  <c r="H31" i="28"/>
  <c r="H32" i="28"/>
  <c r="H33" i="28"/>
  <c r="H34" i="28"/>
  <c r="H35" i="28"/>
  <c r="H36" i="28"/>
  <c r="H37" i="28"/>
  <c r="H38" i="28"/>
  <c r="H39" i="28"/>
  <c r="H40" i="28"/>
  <c r="H41" i="28"/>
  <c r="H42" i="28"/>
  <c r="H43" i="28"/>
  <c r="H44" i="28"/>
  <c r="H45" i="28"/>
  <c r="H46" i="28"/>
  <c r="H47" i="28"/>
  <c r="H48" i="28"/>
  <c r="H49" i="28"/>
  <c r="H50" i="28"/>
  <c r="H51" i="28"/>
  <c r="H52" i="28"/>
  <c r="H53" i="28"/>
  <c r="H54" i="28"/>
  <c r="H55" i="28"/>
  <c r="H56" i="28"/>
  <c r="H57" i="28"/>
  <c r="H58" i="28"/>
  <c r="H59" i="28"/>
  <c r="H60" i="28"/>
  <c r="H61" i="28"/>
  <c r="H62" i="28"/>
  <c r="H63" i="28"/>
  <c r="H64" i="28"/>
  <c r="H65" i="28"/>
  <c r="H66" i="28"/>
  <c r="H67" i="28"/>
  <c r="H68" i="28"/>
  <c r="H69" i="28"/>
  <c r="H70" i="28"/>
  <c r="H71" i="28"/>
  <c r="H72" i="28"/>
  <c r="H73" i="28"/>
  <c r="H74" i="28"/>
  <c r="H75" i="28"/>
  <c r="H76" i="28"/>
  <c r="H77" i="28"/>
  <c r="H78" i="28"/>
  <c r="H79" i="28"/>
  <c r="H80" i="28"/>
  <c r="H81" i="28"/>
  <c r="H82" i="28"/>
  <c r="H83" i="28"/>
  <c r="H2" i="28"/>
  <c r="G2" i="28"/>
  <c r="F3" i="28"/>
  <c r="F4" i="28"/>
  <c r="F5" i="28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F28" i="28"/>
  <c r="F29" i="28"/>
  <c r="F30" i="28"/>
  <c r="F31" i="28"/>
  <c r="F32" i="28"/>
  <c r="F33" i="28"/>
  <c r="F34" i="28"/>
  <c r="F35" i="28"/>
  <c r="F36" i="28"/>
  <c r="F37" i="28"/>
  <c r="F38" i="28"/>
  <c r="F39" i="28"/>
  <c r="F40" i="28"/>
  <c r="F41" i="28"/>
  <c r="F42" i="28"/>
  <c r="F43" i="28"/>
  <c r="F44" i="28"/>
  <c r="F45" i="28"/>
  <c r="F46" i="28"/>
  <c r="F47" i="28"/>
  <c r="F48" i="28"/>
  <c r="F49" i="28"/>
  <c r="F50" i="28"/>
  <c r="F51" i="28"/>
  <c r="F52" i="28"/>
  <c r="F53" i="28"/>
  <c r="F54" i="28"/>
  <c r="F55" i="28"/>
  <c r="F56" i="28"/>
  <c r="F57" i="28"/>
  <c r="F58" i="28"/>
  <c r="F59" i="28"/>
  <c r="F60" i="28"/>
  <c r="F61" i="28"/>
  <c r="F62" i="28"/>
  <c r="F63" i="28"/>
  <c r="F64" i="28"/>
  <c r="F65" i="28"/>
  <c r="F66" i="28"/>
  <c r="F67" i="28"/>
  <c r="F68" i="28"/>
  <c r="F69" i="28"/>
  <c r="F70" i="28"/>
  <c r="F71" i="28"/>
  <c r="F72" i="28"/>
  <c r="F73" i="28"/>
  <c r="F74" i="28"/>
  <c r="F75" i="28"/>
  <c r="F76" i="28"/>
  <c r="F77" i="28"/>
  <c r="F78" i="28"/>
  <c r="F79" i="28"/>
  <c r="F80" i="28"/>
  <c r="F81" i="28"/>
  <c r="F82" i="28"/>
  <c r="F83" i="28"/>
  <c r="F2" i="28"/>
  <c r="E3" i="28"/>
  <c r="E4" i="28"/>
  <c r="E5" i="28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2" i="28"/>
  <c r="B83" i="28"/>
  <c r="B82" i="28"/>
  <c r="B81" i="28"/>
  <c r="B80" i="28"/>
  <c r="B79" i="28"/>
  <c r="B78" i="28"/>
  <c r="B77" i="28"/>
  <c r="B76" i="28"/>
  <c r="B75" i="28"/>
  <c r="B74" i="28"/>
  <c r="B73" i="28"/>
  <c r="B72" i="28"/>
  <c r="B71" i="28"/>
  <c r="B70" i="28"/>
  <c r="B69" i="28"/>
  <c r="B68" i="28"/>
  <c r="A68" i="28" s="1"/>
  <c r="B67" i="28"/>
  <c r="A67" i="28" s="1"/>
  <c r="B66" i="28"/>
  <c r="A66" i="28" s="1"/>
  <c r="B65" i="28"/>
  <c r="A65" i="28" s="1"/>
  <c r="B64" i="28"/>
  <c r="A64" i="28" s="1"/>
  <c r="B63" i="28"/>
  <c r="A63" i="28" s="1"/>
  <c r="B62" i="28"/>
  <c r="A62" i="28" s="1"/>
  <c r="B61" i="28"/>
  <c r="A61" i="28" s="1"/>
  <c r="B60" i="28"/>
  <c r="A60" i="28" s="1"/>
  <c r="B59" i="28"/>
  <c r="A59" i="28" s="1"/>
  <c r="B58" i="28"/>
  <c r="A58" i="28" s="1"/>
  <c r="B57" i="28"/>
  <c r="A57" i="28" s="1"/>
  <c r="B56" i="28"/>
  <c r="A56" i="28" s="1"/>
  <c r="B55" i="28"/>
  <c r="A55" i="28" s="1"/>
  <c r="B54" i="28"/>
  <c r="A54" i="28" s="1"/>
  <c r="B53" i="28"/>
  <c r="A53" i="28" s="1"/>
  <c r="B52" i="28"/>
  <c r="A52" i="28" s="1"/>
  <c r="B51" i="28"/>
  <c r="A51" i="28" s="1"/>
  <c r="B50" i="28"/>
  <c r="A50" i="28" s="1"/>
  <c r="B49" i="28"/>
  <c r="A49" i="28" s="1"/>
  <c r="B48" i="28"/>
  <c r="A48" i="28" s="1"/>
  <c r="B47" i="28"/>
  <c r="A47" i="28" s="1"/>
  <c r="B46" i="28"/>
  <c r="A46" i="28" s="1"/>
  <c r="B45" i="28"/>
  <c r="A45" i="28" s="1"/>
  <c r="B44" i="28"/>
  <c r="A44" i="28" s="1"/>
  <c r="B43" i="28"/>
  <c r="A43" i="28" s="1"/>
  <c r="B42" i="28"/>
  <c r="A42" i="28" s="1"/>
  <c r="B41" i="28"/>
  <c r="A41" i="28" s="1"/>
  <c r="B40" i="28"/>
  <c r="A40" i="28" s="1"/>
  <c r="B39" i="28"/>
  <c r="A39" i="28" s="1"/>
  <c r="B38" i="28"/>
  <c r="A38" i="28" s="1"/>
  <c r="B37" i="28"/>
  <c r="A37" i="28" s="1"/>
  <c r="B36" i="28"/>
  <c r="A36" i="28" s="1"/>
  <c r="B35" i="28"/>
  <c r="A35" i="28" s="1"/>
  <c r="B34" i="28"/>
  <c r="A34" i="28" s="1"/>
  <c r="B33" i="28"/>
  <c r="A33" i="28" s="1"/>
  <c r="B32" i="28"/>
  <c r="A32" i="28" s="1"/>
  <c r="B31" i="28"/>
  <c r="A31" i="28" s="1"/>
  <c r="B30" i="28"/>
  <c r="A30" i="28" s="1"/>
  <c r="B29" i="28"/>
  <c r="A29" i="28" s="1"/>
  <c r="B28" i="28"/>
  <c r="A28" i="28" s="1"/>
  <c r="B27" i="28"/>
  <c r="A27" i="28" s="1"/>
  <c r="B26" i="28"/>
  <c r="A26" i="28" s="1"/>
  <c r="B25" i="28"/>
  <c r="A25" i="28" s="1"/>
  <c r="B24" i="28"/>
  <c r="A24" i="28" s="1"/>
  <c r="B23" i="28"/>
  <c r="A23" i="28" s="1"/>
  <c r="B22" i="28"/>
  <c r="A22" i="28" s="1"/>
  <c r="B21" i="28"/>
  <c r="A21" i="28" s="1"/>
  <c r="B20" i="28"/>
  <c r="A20" i="28" s="1"/>
  <c r="B19" i="28"/>
  <c r="A19" i="28" s="1"/>
  <c r="B18" i="28"/>
  <c r="A18" i="28" s="1"/>
  <c r="B17" i="28"/>
  <c r="A17" i="28" s="1"/>
  <c r="B16" i="28"/>
  <c r="A16" i="28" s="1"/>
  <c r="B15" i="28"/>
  <c r="A15" i="28" s="1"/>
  <c r="B14" i="28"/>
  <c r="A14" i="28" s="1"/>
  <c r="B13" i="28"/>
  <c r="A13" i="28" s="1"/>
  <c r="B12" i="28"/>
  <c r="A12" i="28" s="1"/>
  <c r="B11" i="28"/>
  <c r="A11" i="28" s="1"/>
  <c r="B10" i="28"/>
  <c r="A10" i="28" s="1"/>
  <c r="B9" i="28"/>
  <c r="A9" i="28" s="1"/>
  <c r="B8" i="28"/>
  <c r="A8" i="28" s="1"/>
  <c r="B7" i="28"/>
  <c r="A7" i="28" s="1"/>
  <c r="B6" i="28"/>
  <c r="A6" i="28" s="1"/>
  <c r="B5" i="28"/>
  <c r="A5" i="28" s="1"/>
  <c r="B4" i="28"/>
  <c r="A4" i="28" s="1"/>
  <c r="B3" i="28"/>
  <c r="A3" i="28" s="1"/>
  <c r="B2" i="28"/>
  <c r="A2" i="28" s="1"/>
  <c r="A83" i="28"/>
  <c r="A82" i="28"/>
  <c r="A81" i="28"/>
  <c r="A80" i="28"/>
  <c r="A79" i="28"/>
  <c r="A78" i="28"/>
  <c r="A77" i="28"/>
  <c r="A76" i="28"/>
  <c r="A75" i="28"/>
  <c r="A74" i="28"/>
  <c r="A73" i="28"/>
  <c r="A72" i="28"/>
  <c r="A71" i="28"/>
  <c r="A70" i="28"/>
  <c r="A69" i="28"/>
  <c r="F307" i="25" l="1"/>
  <c r="E307" i="25"/>
  <c r="E236" i="25" l="1"/>
  <c r="F236" i="25"/>
  <c r="T8" i="5" l="1"/>
  <c r="T9" i="5"/>
  <c r="M9" i="5"/>
  <c r="M8" i="5"/>
  <c r="E21" i="26" l="1"/>
  <c r="C21" i="26" s="1"/>
  <c r="E22" i="26"/>
  <c r="C22" i="26" s="1"/>
  <c r="E23" i="26"/>
  <c r="E24" i="26"/>
  <c r="C24" i="26" s="1"/>
  <c r="E25" i="26"/>
  <c r="C25" i="26" s="1"/>
  <c r="E26" i="26"/>
  <c r="C26" i="26" s="1"/>
  <c r="E27" i="26"/>
  <c r="E28" i="26"/>
  <c r="C28" i="26" s="1"/>
  <c r="D22" i="26"/>
  <c r="D26" i="26"/>
  <c r="D24" i="26"/>
  <c r="D28" i="26"/>
  <c r="D21" i="26"/>
  <c r="D25" i="26"/>
  <c r="E2" i="5"/>
  <c r="J1" i="4" s="1"/>
  <c r="F140" i="25"/>
  <c r="E140" i="25"/>
  <c r="F90" i="25"/>
  <c r="C12" i="24"/>
  <c r="C10" i="24" s="1"/>
  <c r="C12" i="23"/>
  <c r="C12" i="22"/>
  <c r="J11" i="22" s="1"/>
  <c r="H11" i="22" s="1"/>
  <c r="C12" i="21"/>
  <c r="C10" i="21" s="1"/>
  <c r="C12" i="20"/>
  <c r="J12" i="20" s="1"/>
  <c r="H12" i="20" s="1"/>
  <c r="C12" i="18"/>
  <c r="J12" i="18" s="1"/>
  <c r="H12" i="18" s="1"/>
  <c r="C12" i="17"/>
  <c r="C12" i="16"/>
  <c r="J12" i="16" s="1"/>
  <c r="H12" i="16" s="1"/>
  <c r="C12" i="15"/>
  <c r="C10" i="15" s="1"/>
  <c r="C12" i="14"/>
  <c r="J12" i="14" s="1"/>
  <c r="H12" i="14" s="1"/>
  <c r="C12" i="13"/>
  <c r="J12" i="13" s="1"/>
  <c r="H12" i="13" s="1"/>
  <c r="C12" i="12"/>
  <c r="B167" i="25" s="1"/>
  <c r="C12" i="11"/>
  <c r="B166" i="25" s="1"/>
  <c r="C12" i="9"/>
  <c r="J12" i="9" s="1"/>
  <c r="H12" i="9" s="1"/>
  <c r="C12" i="8"/>
  <c r="J12" i="8" s="1"/>
  <c r="H12" i="8" s="1"/>
  <c r="E21" i="5"/>
  <c r="E22" i="5"/>
  <c r="E23" i="5"/>
  <c r="E24" i="5"/>
  <c r="E25" i="5"/>
  <c r="E26" i="5"/>
  <c r="E27" i="5"/>
  <c r="E28" i="5"/>
  <c r="E29" i="5"/>
  <c r="D21" i="5"/>
  <c r="D22" i="5"/>
  <c r="D23" i="5"/>
  <c r="D24" i="5"/>
  <c r="E16" i="24" a="1"/>
  <c r="E16" i="24" s="1"/>
  <c r="E17" i="24" a="1"/>
  <c r="E17" i="24" s="1"/>
  <c r="E18" i="24" a="1"/>
  <c r="E18" i="24" s="1"/>
  <c r="E19" i="24" a="1"/>
  <c r="E19" i="24" s="1"/>
  <c r="E20" i="24" a="1"/>
  <c r="E20" i="24" s="1"/>
  <c r="G20" i="24" s="1"/>
  <c r="E21" i="24" a="1"/>
  <c r="E21" i="24" s="1"/>
  <c r="E22" i="24" a="1"/>
  <c r="E22" i="24" s="1"/>
  <c r="E23" i="24" a="1"/>
  <c r="E23" i="24" s="1"/>
  <c r="G23" i="24" s="1"/>
  <c r="E24" i="24" a="1"/>
  <c r="E24" i="24" s="1"/>
  <c r="G24" i="24" s="1"/>
  <c r="E25" i="24" a="1"/>
  <c r="E25" i="24" s="1"/>
  <c r="G25" i="24" s="1"/>
  <c r="E26" i="24" a="1"/>
  <c r="E26" i="24" s="1"/>
  <c r="G26" i="24" s="1"/>
  <c r="E27" i="24" a="1"/>
  <c r="E27" i="24" s="1"/>
  <c r="G27" i="24" s="1"/>
  <c r="E15" i="24" a="1"/>
  <c r="E15" i="24" s="1"/>
  <c r="D20" i="24" a="1"/>
  <c r="D20" i="24" s="1"/>
  <c r="D21" i="24" a="1"/>
  <c r="D21" i="24" s="1"/>
  <c r="D22" i="24" a="1"/>
  <c r="D22" i="24" s="1"/>
  <c r="D23" i="24" a="1"/>
  <c r="D23" i="24" s="1"/>
  <c r="D24" i="24" a="1"/>
  <c r="D24" i="24" s="1"/>
  <c r="D25" i="24" a="1"/>
  <c r="D25" i="24" s="1"/>
  <c r="D26" i="24" a="1"/>
  <c r="D26" i="24" s="1"/>
  <c r="D27" i="24" a="1"/>
  <c r="D27" i="24" s="1"/>
  <c r="B20" i="24" a="1"/>
  <c r="B20" i="24" s="1"/>
  <c r="H20" i="24" s="1"/>
  <c r="B21" i="24" a="1"/>
  <c r="B21" i="24" s="1"/>
  <c r="H21" i="24" s="1"/>
  <c r="B22" i="24" a="1"/>
  <c r="B22" i="24" s="1"/>
  <c r="H22" i="24" s="1"/>
  <c r="B23" i="24" a="1"/>
  <c r="B23" i="24" s="1"/>
  <c r="H23" i="24" s="1"/>
  <c r="B24" i="24" a="1"/>
  <c r="B24" i="24" s="1"/>
  <c r="H24" i="24" s="1"/>
  <c r="B25" i="24" a="1"/>
  <c r="B25" i="24" s="1"/>
  <c r="H25" i="24" s="1"/>
  <c r="B26" i="24" a="1"/>
  <c r="B26" i="24" s="1"/>
  <c r="H26" i="24" s="1"/>
  <c r="B27" i="24" a="1"/>
  <c r="B27" i="24" s="1"/>
  <c r="H27" i="24" s="1"/>
  <c r="F20" i="24" a="1"/>
  <c r="F20" i="24" s="1"/>
  <c r="F21" i="24" a="1"/>
  <c r="F21" i="24" s="1"/>
  <c r="F22" i="24" a="1"/>
  <c r="F22" i="24" s="1"/>
  <c r="F23" i="24" a="1"/>
  <c r="F23" i="24" s="1"/>
  <c r="F24" i="24" a="1"/>
  <c r="F24" i="24" s="1"/>
  <c r="F25" i="24" a="1"/>
  <c r="F25" i="24" s="1"/>
  <c r="F26" i="24" a="1"/>
  <c r="F26" i="24" s="1"/>
  <c r="F27" i="24" a="1"/>
  <c r="F27" i="24" s="1"/>
  <c r="B21" i="22" a="1"/>
  <c r="B21" i="22" s="1"/>
  <c r="H21" i="22" s="1"/>
  <c r="B22" i="22" a="1"/>
  <c r="B22" i="22" s="1"/>
  <c r="H22" i="22" s="1"/>
  <c r="B23" i="22" a="1"/>
  <c r="B23" i="22" s="1"/>
  <c r="B24" i="22" a="1"/>
  <c r="B24" i="22" s="1"/>
  <c r="H24" i="22" s="1"/>
  <c r="B25" i="22" a="1"/>
  <c r="B25" i="22" s="1"/>
  <c r="H25" i="22" s="1"/>
  <c r="B26" i="22" a="1"/>
  <c r="B26" i="22" s="1"/>
  <c r="H26" i="22" s="1"/>
  <c r="B27" i="22" a="1"/>
  <c r="B27" i="22" s="1"/>
  <c r="H27" i="22" s="1"/>
  <c r="F21" i="22" a="1"/>
  <c r="F21" i="22" s="1"/>
  <c r="F22" i="22" a="1"/>
  <c r="F22" i="22" s="1"/>
  <c r="F23" i="22" a="1"/>
  <c r="F23" i="22" s="1"/>
  <c r="F24" i="22" a="1"/>
  <c r="F24" i="22" s="1"/>
  <c r="F25" i="22" a="1"/>
  <c r="F25" i="22" s="1"/>
  <c r="F26" i="22" a="1"/>
  <c r="F26" i="22" s="1"/>
  <c r="F27" i="22" a="1"/>
  <c r="F27" i="22" s="1"/>
  <c r="D21" i="22" a="1"/>
  <c r="D21" i="22" s="1"/>
  <c r="D22" i="22" a="1"/>
  <c r="D22" i="22" s="1"/>
  <c r="D23" i="22" a="1"/>
  <c r="D23" i="22" s="1"/>
  <c r="D24" i="22" a="1"/>
  <c r="D24" i="22" s="1"/>
  <c r="D25" i="22" a="1"/>
  <c r="D25" i="22" s="1"/>
  <c r="D26" i="22" a="1"/>
  <c r="D26" i="22" s="1"/>
  <c r="D27" i="22" a="1"/>
  <c r="D27" i="22" s="1"/>
  <c r="B21" i="21" a="1"/>
  <c r="B21" i="21" s="1"/>
  <c r="H21" i="21" s="1"/>
  <c r="B22" i="21" a="1"/>
  <c r="B22" i="21" s="1"/>
  <c r="B23" i="21" a="1"/>
  <c r="B23" i="21" s="1"/>
  <c r="H23" i="21" s="1"/>
  <c r="B24" i="21" a="1"/>
  <c r="B24" i="21" s="1"/>
  <c r="H24" i="21" s="1"/>
  <c r="B25" i="21" a="1"/>
  <c r="B25" i="21" s="1"/>
  <c r="H25" i="21" s="1"/>
  <c r="B26" i="21" a="1"/>
  <c r="B26" i="21" s="1"/>
  <c r="B27" i="21" a="1"/>
  <c r="B27" i="21" s="1"/>
  <c r="H27" i="21" s="1"/>
  <c r="F21" i="21" a="1"/>
  <c r="F21" i="21" s="1"/>
  <c r="F22" i="21" a="1"/>
  <c r="F22" i="21" s="1"/>
  <c r="F23" i="21" a="1"/>
  <c r="F23" i="21" s="1"/>
  <c r="F24" i="21" a="1"/>
  <c r="F24" i="21" s="1"/>
  <c r="F25" i="21" a="1"/>
  <c r="F25" i="21" s="1"/>
  <c r="F26" i="21" a="1"/>
  <c r="F26" i="21" s="1"/>
  <c r="F27" i="21" a="1"/>
  <c r="F27" i="21" s="1"/>
  <c r="D21" i="21" a="1"/>
  <c r="D21" i="21" s="1"/>
  <c r="D22" i="21" a="1"/>
  <c r="D22" i="21" s="1"/>
  <c r="D23" i="21" a="1"/>
  <c r="D23" i="21" s="1"/>
  <c r="D24" i="21" a="1"/>
  <c r="D24" i="21" s="1"/>
  <c r="D25" i="21" a="1"/>
  <c r="D25" i="21" s="1"/>
  <c r="D26" i="21" a="1"/>
  <c r="D26" i="21" s="1"/>
  <c r="D27" i="21" a="1"/>
  <c r="D27" i="21" s="1"/>
  <c r="F21" i="20" a="1"/>
  <c r="F21" i="20" s="1"/>
  <c r="F22" i="20" a="1"/>
  <c r="F22" i="20" s="1"/>
  <c r="F23" i="20" a="1"/>
  <c r="F23" i="20" s="1"/>
  <c r="F24" i="20" a="1"/>
  <c r="F24" i="20" s="1"/>
  <c r="F25" i="20" a="1"/>
  <c r="F25" i="20" s="1"/>
  <c r="F26" i="20" a="1"/>
  <c r="F26" i="20" s="1"/>
  <c r="F27" i="20" a="1"/>
  <c r="F27" i="20" s="1"/>
  <c r="B21" i="20" a="1"/>
  <c r="B21" i="20" s="1"/>
  <c r="H21" i="20" s="1"/>
  <c r="B22" i="20" a="1"/>
  <c r="B22" i="20" s="1"/>
  <c r="H22" i="20" s="1"/>
  <c r="B23" i="20" a="1"/>
  <c r="B23" i="20" s="1"/>
  <c r="H23" i="20" s="1"/>
  <c r="B24" i="20" a="1"/>
  <c r="B24" i="20" s="1"/>
  <c r="H24" i="20" s="1"/>
  <c r="B25" i="20" a="1"/>
  <c r="B25" i="20" s="1"/>
  <c r="H25" i="20" s="1"/>
  <c r="B26" i="20" a="1"/>
  <c r="B26" i="20" s="1"/>
  <c r="H26" i="20" s="1"/>
  <c r="B27" i="20" a="1"/>
  <c r="B27" i="20" s="1"/>
  <c r="H27" i="20" s="1"/>
  <c r="D21" i="20" a="1"/>
  <c r="D21" i="20" s="1"/>
  <c r="D22" i="20" a="1"/>
  <c r="D22" i="20" s="1"/>
  <c r="D23" i="20" a="1"/>
  <c r="D23" i="20" s="1"/>
  <c r="D24" i="20" a="1"/>
  <c r="D24" i="20" s="1"/>
  <c r="D25" i="20" a="1"/>
  <c r="D25" i="20" s="1"/>
  <c r="D26" i="20" a="1"/>
  <c r="D26" i="20" s="1"/>
  <c r="D27" i="20" a="1"/>
  <c r="D27" i="20" s="1"/>
  <c r="F21" i="19" a="1"/>
  <c r="F21" i="19" s="1"/>
  <c r="F22" i="19" a="1"/>
  <c r="F22" i="19" s="1"/>
  <c r="F23" i="19" a="1"/>
  <c r="F23" i="19" s="1"/>
  <c r="F24" i="19" a="1"/>
  <c r="F24" i="19" s="1"/>
  <c r="F25" i="19" a="1"/>
  <c r="F25" i="19" s="1"/>
  <c r="F26" i="19" a="1"/>
  <c r="F26" i="19" s="1"/>
  <c r="F27" i="19" a="1"/>
  <c r="F27" i="19" s="1"/>
  <c r="B21" i="19" a="1"/>
  <c r="B21" i="19" s="1"/>
  <c r="B22" i="19" a="1"/>
  <c r="B22" i="19" s="1"/>
  <c r="H22" i="19" s="1"/>
  <c r="B23" i="19" a="1"/>
  <c r="B23" i="19" s="1"/>
  <c r="B24" i="19" a="1"/>
  <c r="B24" i="19" s="1"/>
  <c r="H24" i="19" s="1"/>
  <c r="B25" i="19" a="1"/>
  <c r="B25" i="19" s="1"/>
  <c r="H25" i="19" s="1"/>
  <c r="B26" i="19" a="1"/>
  <c r="B26" i="19" s="1"/>
  <c r="H26" i="19" s="1"/>
  <c r="B27" i="19" a="1"/>
  <c r="B27" i="19" s="1"/>
  <c r="J27" i="19" s="1"/>
  <c r="D21" i="19" a="1"/>
  <c r="D21" i="19" s="1"/>
  <c r="D22" i="19" a="1"/>
  <c r="D22" i="19" s="1"/>
  <c r="D23" i="19" a="1"/>
  <c r="D23" i="19" s="1"/>
  <c r="D24" i="19" a="1"/>
  <c r="D24" i="19" s="1"/>
  <c r="D25" i="19" a="1"/>
  <c r="D25" i="19" s="1"/>
  <c r="D26" i="19" a="1"/>
  <c r="D26" i="19" s="1"/>
  <c r="D27" i="19" a="1"/>
  <c r="D27" i="19" s="1"/>
  <c r="B20" i="18" a="1"/>
  <c r="B20" i="18" s="1"/>
  <c r="H20" i="18" s="1"/>
  <c r="B21" i="18" a="1"/>
  <c r="B21" i="18" s="1"/>
  <c r="H21" i="18" s="1"/>
  <c r="B22" i="18" a="1"/>
  <c r="B22" i="18" s="1"/>
  <c r="H22" i="18" s="1"/>
  <c r="B23" i="18" a="1"/>
  <c r="B23" i="18" s="1"/>
  <c r="H23" i="18" s="1"/>
  <c r="B24" i="18" a="1"/>
  <c r="B24" i="18" s="1"/>
  <c r="H24" i="18" s="1"/>
  <c r="B25" i="18" a="1"/>
  <c r="B25" i="18" s="1"/>
  <c r="H25" i="18" s="1"/>
  <c r="B26" i="18" a="1"/>
  <c r="B26" i="18" s="1"/>
  <c r="H26" i="18" s="1"/>
  <c r="B27" i="18" a="1"/>
  <c r="B27" i="18" s="1"/>
  <c r="H27" i="18" s="1"/>
  <c r="F20" i="18" a="1"/>
  <c r="F20" i="18" s="1"/>
  <c r="F21" i="18" a="1"/>
  <c r="F21" i="18" s="1"/>
  <c r="F22" i="18" a="1"/>
  <c r="F22" i="18" s="1"/>
  <c r="F23" i="18" a="1"/>
  <c r="F23" i="18" s="1"/>
  <c r="F24" i="18" a="1"/>
  <c r="F24" i="18" s="1"/>
  <c r="F25" i="18" a="1"/>
  <c r="F25" i="18" s="1"/>
  <c r="F26" i="18" a="1"/>
  <c r="F26" i="18" s="1"/>
  <c r="F27" i="18" a="1"/>
  <c r="F27" i="18" s="1"/>
  <c r="D20" i="18" a="1"/>
  <c r="D20" i="18" s="1"/>
  <c r="D21" i="18" a="1"/>
  <c r="D21" i="18" s="1"/>
  <c r="D22" i="18" a="1"/>
  <c r="D22" i="18" s="1"/>
  <c r="D23" i="18" a="1"/>
  <c r="D23" i="18" s="1"/>
  <c r="D24" i="18" a="1"/>
  <c r="D24" i="18" s="1"/>
  <c r="D25" i="18" a="1"/>
  <c r="D25" i="18" s="1"/>
  <c r="D26" i="18" a="1"/>
  <c r="D26" i="18" s="1"/>
  <c r="D27" i="18" a="1"/>
  <c r="D27" i="18" s="1"/>
  <c r="B22" i="17" a="1"/>
  <c r="B22" i="17" s="1"/>
  <c r="H22" i="17" s="1"/>
  <c r="B23" i="17" a="1"/>
  <c r="B23" i="17" s="1"/>
  <c r="B24" i="17" a="1"/>
  <c r="B24" i="17" s="1"/>
  <c r="H24" i="17" s="1"/>
  <c r="B25" i="17" a="1"/>
  <c r="B25" i="17" s="1"/>
  <c r="B26" i="17" a="1"/>
  <c r="B26" i="17" s="1"/>
  <c r="H26" i="17" s="1"/>
  <c r="B27" i="17" a="1"/>
  <c r="B27" i="17" s="1"/>
  <c r="F22" i="17" a="1"/>
  <c r="F22" i="17" s="1"/>
  <c r="F23" i="17" a="1"/>
  <c r="F23" i="17" s="1"/>
  <c r="F24" i="17" a="1"/>
  <c r="F24" i="17" s="1"/>
  <c r="F25" i="17" a="1"/>
  <c r="F25" i="17" s="1"/>
  <c r="F26" i="17" a="1"/>
  <c r="F26" i="17" s="1"/>
  <c r="F27" i="17" a="1"/>
  <c r="F27" i="17" s="1"/>
  <c r="D22" i="17" a="1"/>
  <c r="D22" i="17" s="1"/>
  <c r="D23" i="17" a="1"/>
  <c r="D23" i="17" s="1"/>
  <c r="D24" i="17" a="1"/>
  <c r="D24" i="17" s="1"/>
  <c r="D25" i="17" a="1"/>
  <c r="D25" i="17" s="1"/>
  <c r="D26" i="17" a="1"/>
  <c r="D26" i="17" s="1"/>
  <c r="D27" i="17" a="1"/>
  <c r="D27" i="17" s="1"/>
  <c r="B22" i="16" a="1"/>
  <c r="B22" i="16" s="1"/>
  <c r="H22" i="16" s="1"/>
  <c r="B23" i="16" a="1"/>
  <c r="B23" i="16" s="1"/>
  <c r="H23" i="16" s="1"/>
  <c r="B24" i="16" a="1"/>
  <c r="B24" i="16" s="1"/>
  <c r="H24" i="16" s="1"/>
  <c r="B25" i="16" a="1"/>
  <c r="B25" i="16" s="1"/>
  <c r="H25" i="16" s="1"/>
  <c r="B26" i="16" a="1"/>
  <c r="B26" i="16" s="1"/>
  <c r="H26" i="16" s="1"/>
  <c r="B27" i="16" a="1"/>
  <c r="B27" i="16" s="1"/>
  <c r="H27" i="16" s="1"/>
  <c r="F22" i="16" a="1"/>
  <c r="F22" i="16" s="1"/>
  <c r="F23" i="16" a="1"/>
  <c r="F23" i="16" s="1"/>
  <c r="F24" i="16" a="1"/>
  <c r="F24" i="16" s="1"/>
  <c r="F25" i="16" a="1"/>
  <c r="F25" i="16" s="1"/>
  <c r="F26" i="16" a="1"/>
  <c r="F26" i="16" s="1"/>
  <c r="F27" i="16" a="1"/>
  <c r="F27" i="16" s="1"/>
  <c r="D22" i="16" a="1"/>
  <c r="D22" i="16" s="1"/>
  <c r="D23" i="16" a="1"/>
  <c r="D23" i="16" s="1"/>
  <c r="D24" i="16" a="1"/>
  <c r="D24" i="16" s="1"/>
  <c r="D25" i="16" a="1"/>
  <c r="D25" i="16" s="1"/>
  <c r="D26" i="16" a="1"/>
  <c r="D26" i="16" s="1"/>
  <c r="D27" i="16" a="1"/>
  <c r="D27" i="16" s="1"/>
  <c r="B21" i="15" a="1"/>
  <c r="B21" i="15" s="1"/>
  <c r="H21" i="15" s="1"/>
  <c r="B22" i="15" a="1"/>
  <c r="B22" i="15" s="1"/>
  <c r="H22" i="15" s="1"/>
  <c r="B23" i="15" a="1"/>
  <c r="B23" i="15" s="1"/>
  <c r="H23" i="15" s="1"/>
  <c r="B24" i="15" a="1"/>
  <c r="B24" i="15" s="1"/>
  <c r="H24" i="15" s="1"/>
  <c r="B25" i="15" a="1"/>
  <c r="B25" i="15" s="1"/>
  <c r="B26" i="15" a="1"/>
  <c r="B26" i="15" s="1"/>
  <c r="H26" i="15" s="1"/>
  <c r="B27" i="15" a="1"/>
  <c r="B27" i="15" s="1"/>
  <c r="H27" i="15" s="1"/>
  <c r="F21" i="15" a="1"/>
  <c r="F21" i="15" s="1"/>
  <c r="F22" i="15" a="1"/>
  <c r="F22" i="15" s="1"/>
  <c r="F23" i="15" a="1"/>
  <c r="F23" i="15" s="1"/>
  <c r="F24" i="15" a="1"/>
  <c r="F24" i="15" s="1"/>
  <c r="F25" i="15" a="1"/>
  <c r="F25" i="15" s="1"/>
  <c r="F26" i="15" a="1"/>
  <c r="F26" i="15" s="1"/>
  <c r="F27" i="15" a="1"/>
  <c r="F27" i="15" s="1"/>
  <c r="D21" i="15" a="1"/>
  <c r="D21" i="15" s="1"/>
  <c r="D22" i="15" a="1"/>
  <c r="D22" i="15" s="1"/>
  <c r="D23" i="15" a="1"/>
  <c r="D23" i="15" s="1"/>
  <c r="D24" i="15" a="1"/>
  <c r="D24" i="15" s="1"/>
  <c r="D25" i="15" a="1"/>
  <c r="D25" i="15" s="1"/>
  <c r="D26" i="15" a="1"/>
  <c r="D26" i="15" s="1"/>
  <c r="D27" i="15" a="1"/>
  <c r="D27" i="15" s="1"/>
  <c r="F21" i="14" a="1"/>
  <c r="F21" i="14" s="1"/>
  <c r="F22" i="14" a="1"/>
  <c r="F22" i="14" s="1"/>
  <c r="F23" i="14" a="1"/>
  <c r="F23" i="14" s="1"/>
  <c r="F24" i="14" a="1"/>
  <c r="F24" i="14" s="1"/>
  <c r="F25" i="14" a="1"/>
  <c r="F25" i="14" s="1"/>
  <c r="F26" i="14" a="1"/>
  <c r="F26" i="14" s="1"/>
  <c r="F27" i="14" a="1"/>
  <c r="F27" i="14" s="1"/>
  <c r="B21" i="14" a="1"/>
  <c r="B21" i="14" s="1"/>
  <c r="H21" i="14" s="1"/>
  <c r="B22" i="14" a="1"/>
  <c r="B22" i="14" s="1"/>
  <c r="H22" i="14" s="1"/>
  <c r="B23" i="14" a="1"/>
  <c r="B23" i="14" s="1"/>
  <c r="B24" i="14" a="1"/>
  <c r="B24" i="14" s="1"/>
  <c r="H24" i="14" s="1"/>
  <c r="B25" i="14" a="1"/>
  <c r="B25" i="14" s="1"/>
  <c r="B26" i="14" a="1"/>
  <c r="B26" i="14" s="1"/>
  <c r="H26" i="14" s="1"/>
  <c r="B27" i="14" a="1"/>
  <c r="B27" i="14" s="1"/>
  <c r="D21" i="14" a="1"/>
  <c r="D21" i="14" s="1"/>
  <c r="D22" i="14" a="1"/>
  <c r="D22" i="14" s="1"/>
  <c r="D23" i="14" a="1"/>
  <c r="D23" i="14" s="1"/>
  <c r="D24" i="14" a="1"/>
  <c r="D24" i="14" s="1"/>
  <c r="D25" i="14" a="1"/>
  <c r="D25" i="14" s="1"/>
  <c r="D26" i="14" a="1"/>
  <c r="D26" i="14" s="1"/>
  <c r="D27" i="14" a="1"/>
  <c r="D27" i="14" s="1"/>
  <c r="D21" i="13" a="1"/>
  <c r="D21" i="13" s="1"/>
  <c r="D22" i="13" a="1"/>
  <c r="D22" i="13" s="1"/>
  <c r="D23" i="13" a="1"/>
  <c r="D23" i="13" s="1"/>
  <c r="D24" i="13" a="1"/>
  <c r="D24" i="13" s="1"/>
  <c r="D25" i="13" a="1"/>
  <c r="D25" i="13" s="1"/>
  <c r="D26" i="13" a="1"/>
  <c r="D26" i="13" s="1"/>
  <c r="D27" i="13" a="1"/>
  <c r="D27" i="13" s="1"/>
  <c r="B21" i="13" a="1"/>
  <c r="B21" i="13" s="1"/>
  <c r="H21" i="13" s="1"/>
  <c r="B22" i="13" a="1"/>
  <c r="B22" i="13" s="1"/>
  <c r="H22" i="13" s="1"/>
  <c r="B23" i="13" a="1"/>
  <c r="B23" i="13" s="1"/>
  <c r="B24" i="13" a="1"/>
  <c r="B24" i="13" s="1"/>
  <c r="H24" i="13" s="1"/>
  <c r="B25" i="13" a="1"/>
  <c r="B25" i="13" s="1"/>
  <c r="B26" i="13" a="1"/>
  <c r="B26" i="13" s="1"/>
  <c r="H26" i="13" s="1"/>
  <c r="B27" i="13" a="1"/>
  <c r="B27" i="13" s="1"/>
  <c r="F21" i="13" a="1"/>
  <c r="F21" i="13" s="1"/>
  <c r="F22" i="13" a="1"/>
  <c r="F22" i="13" s="1"/>
  <c r="F23" i="13" a="1"/>
  <c r="F23" i="13" s="1"/>
  <c r="F24" i="13" a="1"/>
  <c r="F24" i="13" s="1"/>
  <c r="F25" i="13" a="1"/>
  <c r="F25" i="13" s="1"/>
  <c r="F26" i="13" a="1"/>
  <c r="F26" i="13" s="1"/>
  <c r="F27" i="13" a="1"/>
  <c r="F27" i="13" s="1"/>
  <c r="D23" i="11" a="1"/>
  <c r="D23" i="11" s="1"/>
  <c r="D24" i="11" a="1"/>
  <c r="D24" i="11" s="1"/>
  <c r="D25" i="11" a="1"/>
  <c r="D25" i="11" s="1"/>
  <c r="D26" i="11" a="1"/>
  <c r="D26" i="11" s="1"/>
  <c r="D27" i="11" a="1"/>
  <c r="D27" i="11" s="1"/>
  <c r="B23" i="11" a="1"/>
  <c r="B23" i="11" s="1"/>
  <c r="H23" i="11" s="1"/>
  <c r="B24" i="11" a="1"/>
  <c r="B24" i="11" s="1"/>
  <c r="H24" i="11" s="1"/>
  <c r="B25" i="11" a="1"/>
  <c r="B25" i="11" s="1"/>
  <c r="H25" i="11" s="1"/>
  <c r="B26" i="11" a="1"/>
  <c r="B26" i="11" s="1"/>
  <c r="H26" i="11" s="1"/>
  <c r="B27" i="11" a="1"/>
  <c r="B27" i="11" s="1"/>
  <c r="H27" i="11" s="1"/>
  <c r="F23" i="11" a="1"/>
  <c r="F23" i="11" s="1"/>
  <c r="F24" i="11" a="1"/>
  <c r="F24" i="11" s="1"/>
  <c r="F25" i="11" a="1"/>
  <c r="F25" i="11" s="1"/>
  <c r="F26" i="11" a="1"/>
  <c r="F26" i="11" s="1"/>
  <c r="F27" i="11" a="1"/>
  <c r="F27" i="11" s="1"/>
  <c r="F24" i="9" a="1"/>
  <c r="F24" i="9" s="1"/>
  <c r="F25" i="9" a="1"/>
  <c r="F25" i="9" s="1"/>
  <c r="F26" i="9" a="1"/>
  <c r="F26" i="9" s="1"/>
  <c r="F27" i="9" a="1"/>
  <c r="F27" i="9" s="1"/>
  <c r="B24" i="9" a="1"/>
  <c r="B24" i="9" s="1"/>
  <c r="H24" i="9" s="1"/>
  <c r="B25" i="9" a="1"/>
  <c r="B25" i="9" s="1"/>
  <c r="B26" i="9" a="1"/>
  <c r="B26" i="9" s="1"/>
  <c r="H26" i="9" s="1"/>
  <c r="B27" i="9" a="1"/>
  <c r="B27" i="9" s="1"/>
  <c r="H27" i="9" s="1"/>
  <c r="D24" i="9" a="1"/>
  <c r="D24" i="9" s="1"/>
  <c r="D25" i="9" a="1"/>
  <c r="D25" i="9" s="1"/>
  <c r="D26" i="9" a="1"/>
  <c r="D26" i="9" s="1"/>
  <c r="D27" i="9" a="1"/>
  <c r="D27" i="9" s="1"/>
  <c r="F22" i="8" a="1"/>
  <c r="F22" i="8" s="1"/>
  <c r="F23" i="8" a="1"/>
  <c r="F23" i="8" s="1"/>
  <c r="F24" i="8" a="1"/>
  <c r="F24" i="8" s="1"/>
  <c r="F25" i="8" a="1"/>
  <c r="F25" i="8" s="1"/>
  <c r="F26" i="8" a="1"/>
  <c r="F26" i="8" s="1"/>
  <c r="F27" i="8" a="1"/>
  <c r="F27" i="8" s="1"/>
  <c r="E16" i="7" a="1"/>
  <c r="E16" i="7" s="1"/>
  <c r="E17" i="7" a="1"/>
  <c r="E17" i="7" s="1"/>
  <c r="E18" i="7" a="1"/>
  <c r="E18" i="7" s="1"/>
  <c r="E19" i="7" a="1"/>
  <c r="E19" i="7" s="1"/>
  <c r="E20" i="7" a="1"/>
  <c r="E20" i="7" s="1"/>
  <c r="E21" i="7" a="1"/>
  <c r="E21" i="7" s="1"/>
  <c r="E22" i="7" a="1"/>
  <c r="E22" i="7" s="1"/>
  <c r="E23" i="7" a="1"/>
  <c r="E23" i="7" s="1"/>
  <c r="E24" i="7" a="1"/>
  <c r="E24" i="7" s="1"/>
  <c r="E25" i="7" a="1"/>
  <c r="E25" i="7" s="1"/>
  <c r="E26" i="7" a="1"/>
  <c r="E26" i="7" s="1"/>
  <c r="E27" i="7" a="1"/>
  <c r="E27" i="7" s="1"/>
  <c r="E15" i="7" a="1"/>
  <c r="E15" i="7" s="1"/>
  <c r="E16" i="22" a="1"/>
  <c r="E16" i="22" s="1"/>
  <c r="E17" i="22" a="1"/>
  <c r="E17" i="22" s="1"/>
  <c r="E18" i="22" a="1"/>
  <c r="E18" i="22" s="1"/>
  <c r="E19" i="22" a="1"/>
  <c r="E19" i="22" s="1"/>
  <c r="E20" i="22" a="1"/>
  <c r="E20" i="22" s="1"/>
  <c r="E21" i="22" a="1"/>
  <c r="E21" i="22" s="1"/>
  <c r="G21" i="22" s="1"/>
  <c r="E22" i="22" a="1"/>
  <c r="E22" i="22" s="1"/>
  <c r="E23" i="22" a="1"/>
  <c r="E23" i="22" s="1"/>
  <c r="G23" i="22" s="1"/>
  <c r="E24" i="22" a="1"/>
  <c r="E24" i="22" s="1"/>
  <c r="G24" i="22" s="1"/>
  <c r="E25" i="22" a="1"/>
  <c r="E25" i="22" s="1"/>
  <c r="G25" i="22" s="1"/>
  <c r="E26" i="22" a="1"/>
  <c r="E26" i="22" s="1"/>
  <c r="G26" i="22" s="1"/>
  <c r="E27" i="22" a="1"/>
  <c r="E27" i="22" s="1"/>
  <c r="G27" i="22" s="1"/>
  <c r="E15" i="22" a="1"/>
  <c r="E15" i="22" s="1"/>
  <c r="E16" i="21" a="1"/>
  <c r="E16" i="21" s="1"/>
  <c r="E17" i="21" a="1"/>
  <c r="E17" i="21" s="1"/>
  <c r="E18" i="21" a="1"/>
  <c r="E18" i="21" s="1"/>
  <c r="E19" i="21" a="1"/>
  <c r="E19" i="21" s="1"/>
  <c r="E20" i="21" a="1"/>
  <c r="E20" i="21" s="1"/>
  <c r="E21" i="21" a="1"/>
  <c r="E21" i="21" s="1"/>
  <c r="E22" i="21" a="1"/>
  <c r="E22" i="21" s="1"/>
  <c r="G22" i="21" s="1"/>
  <c r="E15" i="21" a="1"/>
  <c r="E15" i="21" s="1"/>
  <c r="E16" i="20" a="1"/>
  <c r="E16" i="20" s="1"/>
  <c r="E17" i="20" a="1"/>
  <c r="E17" i="20" s="1"/>
  <c r="E18" i="20" a="1"/>
  <c r="E18" i="20" s="1"/>
  <c r="E19" i="20" a="1"/>
  <c r="E19" i="20" s="1"/>
  <c r="E20" i="20" a="1"/>
  <c r="E20" i="20" s="1"/>
  <c r="E21" i="20" a="1"/>
  <c r="E21" i="20" s="1"/>
  <c r="G21" i="20" s="1"/>
  <c r="E22" i="20" a="1"/>
  <c r="E22" i="20" s="1"/>
  <c r="E23" i="20" a="1"/>
  <c r="E23" i="20" s="1"/>
  <c r="G23" i="20" s="1"/>
  <c r="E24" i="20" a="1"/>
  <c r="E24" i="20" s="1"/>
  <c r="G24" i="20" s="1"/>
  <c r="E25" i="20" a="1"/>
  <c r="E25" i="20" s="1"/>
  <c r="G25" i="20" s="1"/>
  <c r="E26" i="20" a="1"/>
  <c r="E26" i="20" s="1"/>
  <c r="G26" i="20" s="1"/>
  <c r="E27" i="20" a="1"/>
  <c r="E27" i="20" s="1"/>
  <c r="G27" i="20" s="1"/>
  <c r="E15" i="20" a="1"/>
  <c r="E15" i="20" s="1"/>
  <c r="E16" i="19" a="1"/>
  <c r="E16" i="19" s="1"/>
  <c r="E17" i="19" a="1"/>
  <c r="E17" i="19" s="1"/>
  <c r="E18" i="19" a="1"/>
  <c r="E18" i="19" s="1"/>
  <c r="E19" i="19" a="1"/>
  <c r="E19" i="19" s="1"/>
  <c r="E20" i="19" a="1"/>
  <c r="E20" i="19" s="1"/>
  <c r="E21" i="19" a="1"/>
  <c r="E21" i="19" s="1"/>
  <c r="E22" i="19" a="1"/>
  <c r="E22" i="19" s="1"/>
  <c r="E23" i="19" a="1"/>
  <c r="E23" i="19" s="1"/>
  <c r="G23" i="19" s="1"/>
  <c r="E24" i="19" a="1"/>
  <c r="E24" i="19" s="1"/>
  <c r="E25" i="19" a="1"/>
  <c r="E25" i="19" s="1"/>
  <c r="G25" i="19" s="1"/>
  <c r="E26" i="19" a="1"/>
  <c r="E26" i="19" s="1"/>
  <c r="G26" i="19" s="1"/>
  <c r="E27" i="19" a="1"/>
  <c r="E27" i="19" s="1"/>
  <c r="G27" i="19" s="1"/>
  <c r="E15" i="19" a="1"/>
  <c r="E15" i="19" s="1"/>
  <c r="E16" i="18" a="1"/>
  <c r="E16" i="18" s="1"/>
  <c r="E17" i="18" a="1"/>
  <c r="E17" i="18" s="1"/>
  <c r="E18" i="18" a="1"/>
  <c r="E18" i="18" s="1"/>
  <c r="E19" i="18" a="1"/>
  <c r="E19" i="18" s="1"/>
  <c r="E20" i="18" a="1"/>
  <c r="E20" i="18" s="1"/>
  <c r="G20" i="18" s="1"/>
  <c r="E21" i="18" a="1"/>
  <c r="E21" i="18" s="1"/>
  <c r="E22" i="18" a="1"/>
  <c r="E22" i="18" s="1"/>
  <c r="E23" i="18" a="1"/>
  <c r="E23" i="18" s="1"/>
  <c r="G23" i="18" s="1"/>
  <c r="E24" i="18" a="1"/>
  <c r="E24" i="18" s="1"/>
  <c r="G24" i="18" s="1"/>
  <c r="E25" i="18" a="1"/>
  <c r="E25" i="18" s="1"/>
  <c r="G25" i="18" s="1"/>
  <c r="E26" i="18" a="1"/>
  <c r="E26" i="18" s="1"/>
  <c r="G26" i="18" s="1"/>
  <c r="E27" i="18" a="1"/>
  <c r="E27" i="18" s="1"/>
  <c r="G27" i="18" s="1"/>
  <c r="E15" i="18" a="1"/>
  <c r="E15" i="18" s="1"/>
  <c r="E16" i="17" a="1"/>
  <c r="E16" i="17" s="1"/>
  <c r="E17" i="17" a="1"/>
  <c r="E17" i="17" s="1"/>
  <c r="E18" i="17" a="1"/>
  <c r="E18" i="17" s="1"/>
  <c r="E19" i="17" a="1"/>
  <c r="E19" i="17" s="1"/>
  <c r="E20" i="17" a="1"/>
  <c r="E20" i="17" s="1"/>
  <c r="E21" i="17" a="1"/>
  <c r="E21" i="17" s="1"/>
  <c r="E22" i="17" a="1"/>
  <c r="E22" i="17" s="1"/>
  <c r="E23" i="17" a="1"/>
  <c r="E23" i="17" s="1"/>
  <c r="G23" i="17" s="1"/>
  <c r="E24" i="17" a="1"/>
  <c r="E24" i="17" s="1"/>
  <c r="G24" i="17" s="1"/>
  <c r="E25" i="17" a="1"/>
  <c r="E25" i="17" s="1"/>
  <c r="G25" i="17" s="1"/>
  <c r="E26" i="17" a="1"/>
  <c r="E26" i="17" s="1"/>
  <c r="G26" i="17" s="1"/>
  <c r="E27" i="17" a="1"/>
  <c r="E27" i="17" s="1"/>
  <c r="G27" i="17" s="1"/>
  <c r="E15" i="17" a="1"/>
  <c r="E15" i="17" s="1"/>
  <c r="E16" i="16" a="1"/>
  <c r="E16" i="16" s="1"/>
  <c r="E17" i="16" a="1"/>
  <c r="E17" i="16" s="1"/>
  <c r="E18" i="16" a="1"/>
  <c r="E18" i="16" s="1"/>
  <c r="E19" i="16" a="1"/>
  <c r="E19" i="16" s="1"/>
  <c r="E20" i="16" a="1"/>
  <c r="E20" i="16" s="1"/>
  <c r="E21" i="16" a="1"/>
  <c r="E21" i="16" s="1"/>
  <c r="E22" i="16" a="1"/>
  <c r="E22" i="16" s="1"/>
  <c r="G22" i="16" s="1"/>
  <c r="E23" i="16" a="1"/>
  <c r="E23" i="16" s="1"/>
  <c r="G23" i="16" s="1"/>
  <c r="E24" i="16" a="1"/>
  <c r="E24" i="16" s="1"/>
  <c r="G24" i="16" s="1"/>
  <c r="E25" i="16" a="1"/>
  <c r="E25" i="16" s="1"/>
  <c r="G25" i="16" s="1"/>
  <c r="E26" i="16" a="1"/>
  <c r="E26" i="16" s="1"/>
  <c r="G26" i="16" s="1"/>
  <c r="E27" i="16" a="1"/>
  <c r="E27" i="16" s="1"/>
  <c r="G27" i="16" s="1"/>
  <c r="E15" i="16" a="1"/>
  <c r="E15" i="16" s="1"/>
  <c r="E16" i="15" a="1"/>
  <c r="E16" i="15" s="1"/>
  <c r="E17" i="15" a="1"/>
  <c r="E17" i="15" s="1"/>
  <c r="E18" i="15" a="1"/>
  <c r="E18" i="15" s="1"/>
  <c r="E19" i="15" a="1"/>
  <c r="E19" i="15" s="1"/>
  <c r="E20" i="15" a="1"/>
  <c r="E20" i="15" s="1"/>
  <c r="E21" i="15" a="1"/>
  <c r="E21" i="15" s="1"/>
  <c r="E22" i="15" a="1"/>
  <c r="E22" i="15" s="1"/>
  <c r="G22" i="15" s="1"/>
  <c r="E23" i="15" a="1"/>
  <c r="E23" i="15" s="1"/>
  <c r="G23" i="15" s="1"/>
  <c r="E24" i="15" a="1"/>
  <c r="E24" i="15" s="1"/>
  <c r="G24" i="15" s="1"/>
  <c r="E25" i="15" a="1"/>
  <c r="E25" i="15" s="1"/>
  <c r="G25" i="15" s="1"/>
  <c r="E26" i="15" a="1"/>
  <c r="E26" i="15" s="1"/>
  <c r="G26" i="15" s="1"/>
  <c r="E27" i="15" a="1"/>
  <c r="E27" i="15" s="1"/>
  <c r="G27" i="15" s="1"/>
  <c r="E15" i="15" a="1"/>
  <c r="E15" i="15" s="1"/>
  <c r="E16" i="14" a="1"/>
  <c r="E16" i="14" s="1"/>
  <c r="E17" i="14" a="1"/>
  <c r="E17" i="14" s="1"/>
  <c r="E18" i="14" a="1"/>
  <c r="E18" i="14" s="1"/>
  <c r="E19" i="14" a="1"/>
  <c r="E19" i="14" s="1"/>
  <c r="E20" i="14" a="1"/>
  <c r="E20" i="14" s="1"/>
  <c r="E21" i="14" a="1"/>
  <c r="E21" i="14" s="1"/>
  <c r="E22" i="14" a="1"/>
  <c r="E22" i="14" s="1"/>
  <c r="G22" i="14" s="1"/>
  <c r="E23" i="14" a="1"/>
  <c r="E23" i="14" s="1"/>
  <c r="G23" i="14" s="1"/>
  <c r="E24" i="14" a="1"/>
  <c r="E24" i="14" s="1"/>
  <c r="G24" i="14" s="1"/>
  <c r="E25" i="14" a="1"/>
  <c r="E25" i="14" s="1"/>
  <c r="G25" i="14" s="1"/>
  <c r="E26" i="14" a="1"/>
  <c r="E26" i="14" s="1"/>
  <c r="G26" i="14" s="1"/>
  <c r="E27" i="14" a="1"/>
  <c r="E27" i="14" s="1"/>
  <c r="G27" i="14" s="1"/>
  <c r="E15" i="14" a="1"/>
  <c r="E15" i="14" s="1"/>
  <c r="E16" i="13" a="1"/>
  <c r="E16" i="13" s="1"/>
  <c r="E17" i="13" a="1"/>
  <c r="E17" i="13" s="1"/>
  <c r="E18" i="13" a="1"/>
  <c r="E18" i="13" s="1"/>
  <c r="E19" i="13" a="1"/>
  <c r="E19" i="13" s="1"/>
  <c r="E20" i="13" a="1"/>
  <c r="E20" i="13" s="1"/>
  <c r="E21" i="13" a="1"/>
  <c r="E21" i="13" s="1"/>
  <c r="G21" i="13" s="1"/>
  <c r="E22" i="13" a="1"/>
  <c r="E22" i="13" s="1"/>
  <c r="G22" i="13" s="1"/>
  <c r="E23" i="13" a="1"/>
  <c r="E23" i="13" s="1"/>
  <c r="G23" i="13" s="1"/>
  <c r="E24" i="13" a="1"/>
  <c r="E24" i="13" s="1"/>
  <c r="G24" i="13" s="1"/>
  <c r="E25" i="13" a="1"/>
  <c r="E25" i="13" s="1"/>
  <c r="G25" i="13" s="1"/>
  <c r="E26" i="13" a="1"/>
  <c r="E26" i="13" s="1"/>
  <c r="G26" i="13" s="1"/>
  <c r="E27" i="13" a="1"/>
  <c r="E27" i="13" s="1"/>
  <c r="G27" i="13" s="1"/>
  <c r="E15" i="13" a="1"/>
  <c r="E15" i="13" s="1"/>
  <c r="E16" i="12" a="1"/>
  <c r="E16" i="12" s="1"/>
  <c r="E17" i="12" a="1"/>
  <c r="E17" i="12" s="1"/>
  <c r="E18" i="12" a="1"/>
  <c r="E18" i="12" s="1"/>
  <c r="E19" i="12" a="1"/>
  <c r="E19" i="12" s="1"/>
  <c r="E20" i="12" a="1"/>
  <c r="E20" i="12" s="1"/>
  <c r="E21" i="12" a="1"/>
  <c r="E21" i="12" s="1"/>
  <c r="E22" i="12" a="1"/>
  <c r="E22" i="12" s="1"/>
  <c r="E23" i="12" a="1"/>
  <c r="E23" i="12" s="1"/>
  <c r="E24" i="12" a="1"/>
  <c r="E24" i="12" s="1"/>
  <c r="E25" i="12" a="1"/>
  <c r="E25" i="12" s="1"/>
  <c r="E26" i="12" a="1"/>
  <c r="E26" i="12" s="1"/>
  <c r="E27" i="12" a="1"/>
  <c r="E27" i="12" s="1"/>
  <c r="E15" i="12" a="1"/>
  <c r="E15" i="12" s="1"/>
  <c r="E16" i="11" a="1"/>
  <c r="E16" i="11" s="1"/>
  <c r="E17" i="11" a="1"/>
  <c r="E17" i="11" s="1"/>
  <c r="E18" i="11" a="1"/>
  <c r="E18" i="11" s="1"/>
  <c r="E19" i="11" a="1"/>
  <c r="E19" i="11" s="1"/>
  <c r="E20" i="11" a="1"/>
  <c r="E20" i="11" s="1"/>
  <c r="E21" i="11" a="1"/>
  <c r="E21" i="11" s="1"/>
  <c r="E22" i="11" a="1"/>
  <c r="E22" i="11" s="1"/>
  <c r="E23" i="11" a="1"/>
  <c r="E23" i="11" s="1"/>
  <c r="E24" i="11" a="1"/>
  <c r="E24" i="11" s="1"/>
  <c r="G24" i="11" s="1"/>
  <c r="E25" i="11" a="1"/>
  <c r="E25" i="11" s="1"/>
  <c r="E26" i="11" a="1"/>
  <c r="E26" i="11" s="1"/>
  <c r="G26" i="11" s="1"/>
  <c r="E27" i="11" a="1"/>
  <c r="E27" i="11" s="1"/>
  <c r="E15" i="11" a="1"/>
  <c r="E15" i="11" s="1"/>
  <c r="E16" i="9" a="1"/>
  <c r="E16" i="9" s="1"/>
  <c r="E17" i="9" a="1"/>
  <c r="E17" i="9" s="1"/>
  <c r="E18" i="9" a="1"/>
  <c r="E18" i="9" s="1"/>
  <c r="E19" i="9" a="1"/>
  <c r="E19" i="9" s="1"/>
  <c r="E20" i="9" a="1"/>
  <c r="E20" i="9" s="1"/>
  <c r="E21" i="9" a="1"/>
  <c r="E21" i="9" s="1"/>
  <c r="E22" i="9" a="1"/>
  <c r="E22" i="9" s="1"/>
  <c r="E23" i="9" a="1"/>
  <c r="E23" i="9" s="1"/>
  <c r="E24" i="9" a="1"/>
  <c r="E24" i="9" s="1"/>
  <c r="G24" i="9" s="1"/>
  <c r="E25" i="9" a="1"/>
  <c r="E25" i="9" s="1"/>
  <c r="G25" i="9" s="1"/>
  <c r="E26" i="9" a="1"/>
  <c r="E26" i="9" s="1"/>
  <c r="G26" i="9" s="1"/>
  <c r="E27" i="9" a="1"/>
  <c r="E27" i="9" s="1"/>
  <c r="G27" i="9" s="1"/>
  <c r="E15" i="9" a="1"/>
  <c r="E15" i="9" s="1"/>
  <c r="D22" i="8" a="1"/>
  <c r="D22" i="8" s="1"/>
  <c r="D23" i="8" a="1"/>
  <c r="D23" i="8" s="1"/>
  <c r="D24" i="8" a="1"/>
  <c r="D24" i="8" s="1"/>
  <c r="D25" i="8" a="1"/>
  <c r="D25" i="8" s="1"/>
  <c r="D26" i="8" a="1"/>
  <c r="D26" i="8" s="1"/>
  <c r="D27" i="8" a="1"/>
  <c r="D27" i="8" s="1"/>
  <c r="B22" i="8" a="1"/>
  <c r="B22" i="8" s="1"/>
  <c r="H22" i="8" s="1"/>
  <c r="E16" i="8" a="1"/>
  <c r="E16" i="8" s="1"/>
  <c r="E17" i="8" a="1"/>
  <c r="E17" i="8" s="1"/>
  <c r="E18" i="8" a="1"/>
  <c r="E18" i="8" s="1"/>
  <c r="E19" i="8" a="1"/>
  <c r="E19" i="8" s="1"/>
  <c r="E20" i="8" a="1"/>
  <c r="E20" i="8" s="1"/>
  <c r="E21" i="8" a="1"/>
  <c r="E21" i="8" s="1"/>
  <c r="E22" i="8" a="1"/>
  <c r="E22" i="8" s="1"/>
  <c r="E23" i="8" a="1"/>
  <c r="E23" i="8" s="1"/>
  <c r="E24" i="8" a="1"/>
  <c r="E24" i="8" s="1"/>
  <c r="G24" i="8" s="1"/>
  <c r="E25" i="8" a="1"/>
  <c r="E25" i="8" s="1"/>
  <c r="G25" i="8" s="1"/>
  <c r="E26" i="8" a="1"/>
  <c r="E26" i="8" s="1"/>
  <c r="G26" i="8" s="1"/>
  <c r="E27" i="8" a="1"/>
  <c r="E27" i="8" s="1"/>
  <c r="G27" i="8" s="1"/>
  <c r="E15" i="8" a="1"/>
  <c r="E15" i="8" s="1"/>
  <c r="D22" i="7" a="1"/>
  <c r="D22" i="7" s="1"/>
  <c r="D23" i="7" a="1"/>
  <c r="D23" i="7" s="1"/>
  <c r="D24" i="7" a="1"/>
  <c r="D24" i="7" s="1"/>
  <c r="D25" i="7" a="1"/>
  <c r="D25" i="7" s="1"/>
  <c r="D26" i="7" a="1"/>
  <c r="D26" i="7" s="1"/>
  <c r="D27" i="7" a="1"/>
  <c r="D27" i="7" s="1"/>
  <c r="J12" i="23"/>
  <c r="H12" i="23" s="1"/>
  <c r="C10" i="23"/>
  <c r="J12" i="22"/>
  <c r="H12" i="22" s="1"/>
  <c r="C11" i="22"/>
  <c r="J5" i="22"/>
  <c r="E27" i="21" a="1"/>
  <c r="E27" i="21" s="1"/>
  <c r="G27" i="21" s="1"/>
  <c r="E26" i="21" a="1"/>
  <c r="E26" i="21" s="1"/>
  <c r="G26" i="21" s="1"/>
  <c r="E25" i="21" a="1"/>
  <c r="E25" i="21" s="1"/>
  <c r="G25" i="21" s="1"/>
  <c r="E24" i="21" a="1"/>
  <c r="E24" i="21" s="1"/>
  <c r="G24" i="21" s="1"/>
  <c r="E23" i="21" a="1"/>
  <c r="E23" i="21" s="1"/>
  <c r="G23" i="21" s="1"/>
  <c r="J12" i="21"/>
  <c r="H12" i="21" s="1"/>
  <c r="C10" i="20"/>
  <c r="C10" i="18"/>
  <c r="J12" i="17"/>
  <c r="H12" i="17" s="1"/>
  <c r="C10" i="17"/>
  <c r="C10" i="16"/>
  <c r="J12" i="15"/>
  <c r="H12" i="15" s="1"/>
  <c r="C10" i="13"/>
  <c r="A168" i="25" s="1"/>
  <c r="C10" i="11"/>
  <c r="A166" i="25" s="1"/>
  <c r="B27" i="8" a="1"/>
  <c r="B27" i="8" s="1"/>
  <c r="B26" i="8" a="1"/>
  <c r="B26" i="8" s="1"/>
  <c r="H26" i="8" s="1"/>
  <c r="B25" i="8" a="1"/>
  <c r="B25" i="8" s="1"/>
  <c r="B24" i="8" a="1"/>
  <c r="B24" i="8" s="1"/>
  <c r="H24" i="8" s="1"/>
  <c r="B23" i="8" a="1"/>
  <c r="B23" i="8" s="1"/>
  <c r="C10" i="8"/>
  <c r="A164" i="25" s="1"/>
  <c r="F22" i="7" a="1"/>
  <c r="F22" i="7" s="1"/>
  <c r="F23" i="7" a="1"/>
  <c r="F23" i="7" s="1"/>
  <c r="F24" i="7" a="1"/>
  <c r="F24" i="7" s="1"/>
  <c r="F25" i="7" a="1"/>
  <c r="F25" i="7" s="1"/>
  <c r="F26" i="7" a="1"/>
  <c r="F26" i="7" s="1"/>
  <c r="F27" i="7" a="1"/>
  <c r="F27" i="7" s="1"/>
  <c r="E15" i="6" a="1"/>
  <c r="E15" i="6" s="1"/>
  <c r="E16" i="6" a="1"/>
  <c r="E16" i="6" s="1"/>
  <c r="E17" i="6" a="1"/>
  <c r="E17" i="6" s="1"/>
  <c r="E18" i="6" a="1"/>
  <c r="E18" i="6" s="1"/>
  <c r="E19" i="6" a="1"/>
  <c r="E19" i="6" s="1"/>
  <c r="E20" i="6" a="1"/>
  <c r="E20" i="6" s="1"/>
  <c r="E21" i="6" a="1"/>
  <c r="E21" i="6" s="1"/>
  <c r="E22" i="6" a="1"/>
  <c r="E22" i="6" s="1"/>
  <c r="E23" i="6" a="1"/>
  <c r="E23" i="6" s="1"/>
  <c r="E24" i="6" a="1"/>
  <c r="E24" i="6" s="1"/>
  <c r="E25" i="6" a="1"/>
  <c r="E25" i="6" s="1"/>
  <c r="G25" i="6" s="1"/>
  <c r="E26" i="6" a="1"/>
  <c r="E26" i="6" s="1"/>
  <c r="G26" i="6" s="1"/>
  <c r="E27" i="6" a="1"/>
  <c r="E27" i="6" s="1"/>
  <c r="G27" i="6" s="1"/>
  <c r="B22" i="7" a="1"/>
  <c r="B22" i="7" s="1"/>
  <c r="B23" i="7" a="1"/>
  <c r="B23" i="7" s="1"/>
  <c r="H23" i="7" s="1"/>
  <c r="B24" i="7" a="1"/>
  <c r="B24" i="7" s="1"/>
  <c r="H24" i="7" s="1"/>
  <c r="B25" i="7" a="1"/>
  <c r="B25" i="7" s="1"/>
  <c r="H25" i="7" s="1"/>
  <c r="B26" i="7" a="1"/>
  <c r="B26" i="7" s="1"/>
  <c r="H26" i="7" s="1"/>
  <c r="B27" i="7" a="1"/>
  <c r="B27" i="7" s="1"/>
  <c r="H27" i="7" s="1"/>
  <c r="C12" i="7"/>
  <c r="C10" i="7" s="1"/>
  <c r="A163" i="25" s="1"/>
  <c r="B23" i="6" a="1"/>
  <c r="B23" i="6" s="1"/>
  <c r="H23" i="6" s="1"/>
  <c r="B24" i="6" a="1"/>
  <c r="B24" i="6" s="1"/>
  <c r="H24" i="6" s="1"/>
  <c r="B25" i="6" a="1"/>
  <c r="B25" i="6" s="1"/>
  <c r="H25" i="6" s="1"/>
  <c r="B26" i="6" a="1"/>
  <c r="B26" i="6" s="1"/>
  <c r="H26" i="6" s="1"/>
  <c r="B27" i="6" a="1"/>
  <c r="B27" i="6" s="1"/>
  <c r="H27" i="6" s="1"/>
  <c r="D23" i="6" a="1"/>
  <c r="D23" i="6" s="1"/>
  <c r="D24" i="6" a="1"/>
  <c r="D24" i="6" s="1"/>
  <c r="D25" i="6" a="1"/>
  <c r="D25" i="6" s="1"/>
  <c r="D26" i="6" a="1"/>
  <c r="D26" i="6" s="1"/>
  <c r="D27" i="6" a="1"/>
  <c r="D27" i="6" s="1"/>
  <c r="F23" i="6" a="1"/>
  <c r="F23" i="6" s="1"/>
  <c r="F24" i="6" a="1"/>
  <c r="F24" i="6" s="1"/>
  <c r="F25" i="6" a="1"/>
  <c r="F25" i="6" s="1"/>
  <c r="F26" i="6" a="1"/>
  <c r="F26" i="6" s="1"/>
  <c r="F27" i="6" a="1"/>
  <c r="F27" i="6" s="1"/>
  <c r="C12" i="6"/>
  <c r="C11" i="6" s="1"/>
  <c r="L2" i="5"/>
  <c r="J4" i="4" s="1"/>
  <c r="L1" i="5"/>
  <c r="J3" i="4" s="1"/>
  <c r="G24" i="6" l="1"/>
  <c r="G23" i="6"/>
  <c r="G24" i="19"/>
  <c r="G22" i="19"/>
  <c r="J3" i="21"/>
  <c r="D27" i="26"/>
  <c r="C27" i="26"/>
  <c r="D23" i="26"/>
  <c r="C23" i="26"/>
  <c r="G27" i="7"/>
  <c r="C10" i="9"/>
  <c r="A165" i="25" s="1"/>
  <c r="C10" i="12"/>
  <c r="A167" i="25" s="1"/>
  <c r="C10" i="14"/>
  <c r="A169" i="25" s="1"/>
  <c r="C10" i="22"/>
  <c r="G27" i="11"/>
  <c r="G25" i="11"/>
  <c r="I25" i="11" s="1"/>
  <c r="G23" i="11"/>
  <c r="I23" i="11" s="1"/>
  <c r="G25" i="7"/>
  <c r="G23" i="7"/>
  <c r="I23" i="7" s="1"/>
  <c r="G26" i="7"/>
  <c r="G24" i="7"/>
  <c r="B169" i="25"/>
  <c r="B168" i="25"/>
  <c r="B163" i="25"/>
  <c r="B164" i="25"/>
  <c r="B162" i="25"/>
  <c r="J4" i="11"/>
  <c r="J4" i="21"/>
  <c r="J3" i="24"/>
  <c r="B165" i="25"/>
  <c r="J25" i="19"/>
  <c r="J25" i="18"/>
  <c r="H23" i="19"/>
  <c r="I23" i="19" s="1"/>
  <c r="J23" i="19" s="1"/>
  <c r="K23" i="19" s="1"/>
  <c r="H27" i="19"/>
  <c r="J27" i="16"/>
  <c r="J23" i="16"/>
  <c r="D2" i="5"/>
  <c r="J2" i="4" s="1"/>
  <c r="H22" i="7"/>
  <c r="H25" i="15"/>
  <c r="J25" i="15"/>
  <c r="G23" i="8"/>
  <c r="J12" i="7"/>
  <c r="H12" i="7" s="1"/>
  <c r="H23" i="22"/>
  <c r="K23" i="22"/>
  <c r="I5" i="5"/>
  <c r="I9" i="5"/>
  <c r="I13" i="5"/>
  <c r="I17" i="5"/>
  <c r="I7" i="5"/>
  <c r="I11" i="5"/>
  <c r="I15" i="5"/>
  <c r="I19" i="5"/>
  <c r="I4" i="5"/>
  <c r="I6" i="5"/>
  <c r="I8" i="5"/>
  <c r="I10" i="5"/>
  <c r="I12" i="5"/>
  <c r="I14" i="5"/>
  <c r="I16" i="5"/>
  <c r="I18" i="5"/>
  <c r="I20" i="5"/>
  <c r="H25" i="9"/>
  <c r="I25" i="9" s="1"/>
  <c r="J25" i="9" s="1"/>
  <c r="K25" i="9" s="1"/>
  <c r="H23" i="8"/>
  <c r="H25" i="8"/>
  <c r="H27" i="8"/>
  <c r="A23" i="22"/>
  <c r="A26" i="21"/>
  <c r="H26" i="21"/>
  <c r="J26" i="21"/>
  <c r="A22" i="21"/>
  <c r="H22" i="21"/>
  <c r="J23" i="18"/>
  <c r="J27" i="18"/>
  <c r="H27" i="17"/>
  <c r="J27" i="17"/>
  <c r="H25" i="17"/>
  <c r="J25" i="17"/>
  <c r="H23" i="17"/>
  <c r="J23" i="17"/>
  <c r="J25" i="16"/>
  <c r="J23" i="15"/>
  <c r="J27" i="15"/>
  <c r="J27" i="14"/>
  <c r="H27" i="14"/>
  <c r="H25" i="14"/>
  <c r="J25" i="14"/>
  <c r="J23" i="14"/>
  <c r="H23" i="14"/>
  <c r="H27" i="13"/>
  <c r="J27" i="13"/>
  <c r="H25" i="13"/>
  <c r="J25" i="13"/>
  <c r="H23" i="13"/>
  <c r="J23" i="13"/>
  <c r="E28" i="22"/>
  <c r="E28" i="19"/>
  <c r="G22" i="8"/>
  <c r="I22" i="8" s="1"/>
  <c r="J22" i="8" s="1"/>
  <c r="K22" i="8" s="1"/>
  <c r="E28" i="8"/>
  <c r="E28" i="11"/>
  <c r="E28" i="9"/>
  <c r="E28" i="13"/>
  <c r="E28" i="14"/>
  <c r="G21" i="14"/>
  <c r="I21" i="14" s="1"/>
  <c r="J21" i="14" s="1"/>
  <c r="K21" i="14" s="1"/>
  <c r="G21" i="15"/>
  <c r="E28" i="17"/>
  <c r="G22" i="17"/>
  <c r="G22" i="18"/>
  <c r="A21" i="22"/>
  <c r="A22" i="24"/>
  <c r="G22" i="24"/>
  <c r="J26" i="24"/>
  <c r="A26" i="24"/>
  <c r="E28" i="12"/>
  <c r="E28" i="15"/>
  <c r="E28" i="16"/>
  <c r="J24" i="21"/>
  <c r="A24" i="21"/>
  <c r="A20" i="24"/>
  <c r="J24" i="24"/>
  <c r="A24" i="24"/>
  <c r="E28" i="18"/>
  <c r="G21" i="18"/>
  <c r="I21" i="18" s="1"/>
  <c r="G21" i="19"/>
  <c r="I21" i="19" s="1"/>
  <c r="G22" i="20"/>
  <c r="G21" i="21"/>
  <c r="I21" i="21" s="1"/>
  <c r="G22" i="22"/>
  <c r="I22" i="22" s="1"/>
  <c r="J22" i="22" s="1"/>
  <c r="K22" i="22" s="1"/>
  <c r="E28" i="24"/>
  <c r="G21" i="24"/>
  <c r="I21" i="24" s="1"/>
  <c r="J11" i="24"/>
  <c r="H11" i="24" s="1"/>
  <c r="C11" i="24"/>
  <c r="J5" i="24"/>
  <c r="A21" i="24"/>
  <c r="K23" i="24"/>
  <c r="I23" i="24"/>
  <c r="A23" i="24"/>
  <c r="J23" i="24"/>
  <c r="K25" i="24"/>
  <c r="I25" i="24"/>
  <c r="A25" i="24"/>
  <c r="J25" i="24"/>
  <c r="K27" i="24"/>
  <c r="I27" i="24"/>
  <c r="A27" i="24"/>
  <c r="J27" i="24"/>
  <c r="J4" i="24"/>
  <c r="J12" i="24"/>
  <c r="H12" i="24" s="1"/>
  <c r="I20" i="24"/>
  <c r="J20" i="24" s="1"/>
  <c r="K20" i="24" s="1"/>
  <c r="I22" i="24"/>
  <c r="I24" i="24"/>
  <c r="K24" i="24"/>
  <c r="I26" i="24"/>
  <c r="K26" i="24"/>
  <c r="K25" i="22"/>
  <c r="A25" i="22"/>
  <c r="J4" i="23"/>
  <c r="J3" i="22"/>
  <c r="J3" i="23"/>
  <c r="J11" i="23"/>
  <c r="H11" i="23" s="1"/>
  <c r="C11" i="23"/>
  <c r="J5" i="23"/>
  <c r="A22" i="22"/>
  <c r="J24" i="22"/>
  <c r="K24" i="22"/>
  <c r="I24" i="22"/>
  <c r="A24" i="22"/>
  <c r="J26" i="22"/>
  <c r="K26" i="22"/>
  <c r="I26" i="22"/>
  <c r="A26" i="22"/>
  <c r="K27" i="22"/>
  <c r="I27" i="22"/>
  <c r="A27" i="22"/>
  <c r="J27" i="22"/>
  <c r="J4" i="22"/>
  <c r="J23" i="22"/>
  <c r="J25" i="22"/>
  <c r="I21" i="22"/>
  <c r="J21" i="22" s="1"/>
  <c r="K21" i="22" s="1"/>
  <c r="I23" i="22"/>
  <c r="I25" i="22"/>
  <c r="K23" i="20"/>
  <c r="A23" i="20"/>
  <c r="A21" i="21"/>
  <c r="K23" i="21"/>
  <c r="I23" i="21"/>
  <c r="A23" i="21"/>
  <c r="J23" i="21"/>
  <c r="K25" i="21"/>
  <c r="I25" i="21"/>
  <c r="A25" i="21"/>
  <c r="J25" i="21"/>
  <c r="K27" i="21"/>
  <c r="I27" i="21"/>
  <c r="A27" i="21"/>
  <c r="J27" i="21"/>
  <c r="J3" i="20"/>
  <c r="J26" i="20"/>
  <c r="A26" i="20"/>
  <c r="J11" i="21"/>
  <c r="H11" i="21" s="1"/>
  <c r="C11" i="21"/>
  <c r="J5" i="21"/>
  <c r="E28" i="21"/>
  <c r="I22" i="21"/>
  <c r="J22" i="21" s="1"/>
  <c r="K22" i="21" s="1"/>
  <c r="I24" i="21"/>
  <c r="K24" i="21"/>
  <c r="I26" i="21"/>
  <c r="K26" i="21"/>
  <c r="A22" i="13"/>
  <c r="J24" i="14"/>
  <c r="A24" i="14"/>
  <c r="A22" i="15"/>
  <c r="J24" i="16"/>
  <c r="A24" i="16"/>
  <c r="A22" i="17"/>
  <c r="A20" i="18"/>
  <c r="J24" i="18"/>
  <c r="A24" i="18"/>
  <c r="J24" i="13"/>
  <c r="A24" i="13"/>
  <c r="A22" i="14"/>
  <c r="J24" i="15"/>
  <c r="A24" i="15"/>
  <c r="A22" i="16"/>
  <c r="J24" i="17"/>
  <c r="A24" i="17"/>
  <c r="A22" i="18"/>
  <c r="J11" i="20"/>
  <c r="H11" i="20" s="1"/>
  <c r="C11" i="20"/>
  <c r="J5" i="20"/>
  <c r="E28" i="20"/>
  <c r="I21" i="20"/>
  <c r="A21" i="20"/>
  <c r="J21" i="20"/>
  <c r="K21" i="20" s="1"/>
  <c r="K25" i="20"/>
  <c r="I25" i="20"/>
  <c r="A25" i="20"/>
  <c r="J25" i="20"/>
  <c r="K27" i="20"/>
  <c r="I27" i="20"/>
  <c r="A27" i="20"/>
  <c r="J27" i="20"/>
  <c r="A22" i="19"/>
  <c r="A24" i="19"/>
  <c r="J26" i="19"/>
  <c r="K26" i="19"/>
  <c r="A26" i="19"/>
  <c r="J4" i="20"/>
  <c r="I22" i="20"/>
  <c r="J22" i="20" s="1"/>
  <c r="K22" i="20" s="1"/>
  <c r="A22" i="20"/>
  <c r="J24" i="20"/>
  <c r="K24" i="20"/>
  <c r="I24" i="20"/>
  <c r="A24" i="20"/>
  <c r="J23" i="20"/>
  <c r="I26" i="20"/>
  <c r="K26" i="20"/>
  <c r="I23" i="20"/>
  <c r="J4" i="19"/>
  <c r="J3" i="18"/>
  <c r="J3" i="19"/>
  <c r="K24" i="18"/>
  <c r="J26" i="18"/>
  <c r="K26" i="18"/>
  <c r="A26" i="18"/>
  <c r="A21" i="19"/>
  <c r="I22" i="19"/>
  <c r="J22" i="19" s="1"/>
  <c r="K22" i="19" s="1"/>
  <c r="A23" i="19"/>
  <c r="I24" i="19"/>
  <c r="J24" i="19" s="1"/>
  <c r="K24" i="19" s="1"/>
  <c r="K25" i="19"/>
  <c r="I25" i="19"/>
  <c r="A25" i="19"/>
  <c r="I26" i="19"/>
  <c r="K27" i="19"/>
  <c r="I27" i="19"/>
  <c r="A27" i="19"/>
  <c r="J4" i="18"/>
  <c r="K24" i="17"/>
  <c r="J26" i="17"/>
  <c r="K26" i="17"/>
  <c r="A26" i="17"/>
  <c r="J11" i="18"/>
  <c r="H11" i="18" s="1"/>
  <c r="C11" i="18"/>
  <c r="J5" i="18"/>
  <c r="I20" i="18"/>
  <c r="J20" i="18" s="1"/>
  <c r="K20" i="18" s="1"/>
  <c r="A21" i="18"/>
  <c r="I22" i="18"/>
  <c r="J22" i="18" s="1"/>
  <c r="K22" i="18" s="1"/>
  <c r="K23" i="18"/>
  <c r="I23" i="18"/>
  <c r="A23" i="18"/>
  <c r="I24" i="18"/>
  <c r="K25" i="18"/>
  <c r="I25" i="18"/>
  <c r="A25" i="18"/>
  <c r="I26" i="18"/>
  <c r="K27" i="18"/>
  <c r="I27" i="18"/>
  <c r="A27" i="18"/>
  <c r="J4" i="17"/>
  <c r="J3" i="16"/>
  <c r="J3" i="17"/>
  <c r="K24" i="16"/>
  <c r="J26" i="16"/>
  <c r="K26" i="16"/>
  <c r="A26" i="16"/>
  <c r="J11" i="17"/>
  <c r="H11" i="17" s="1"/>
  <c r="C11" i="17"/>
  <c r="J5" i="17"/>
  <c r="I22" i="17"/>
  <c r="J22" i="17" s="1"/>
  <c r="K22" i="17" s="1"/>
  <c r="K23" i="17"/>
  <c r="I23" i="17"/>
  <c r="A23" i="17"/>
  <c r="I24" i="17"/>
  <c r="K25" i="17"/>
  <c r="I25" i="17"/>
  <c r="A25" i="17"/>
  <c r="I26" i="17"/>
  <c r="K27" i="17"/>
  <c r="I27" i="17"/>
  <c r="A27" i="17"/>
  <c r="J4" i="16"/>
  <c r="K24" i="15"/>
  <c r="J26" i="15"/>
  <c r="K26" i="15"/>
  <c r="A26" i="15"/>
  <c r="J11" i="16"/>
  <c r="H11" i="16" s="1"/>
  <c r="C11" i="16"/>
  <c r="J5" i="16"/>
  <c r="I22" i="16"/>
  <c r="J22" i="16" s="1"/>
  <c r="K22" i="16" s="1"/>
  <c r="K23" i="16"/>
  <c r="I23" i="16"/>
  <c r="A23" i="16"/>
  <c r="I24" i="16"/>
  <c r="K25" i="16"/>
  <c r="I25" i="16"/>
  <c r="A25" i="16"/>
  <c r="I26" i="16"/>
  <c r="K27" i="16"/>
  <c r="I27" i="16"/>
  <c r="A27" i="16"/>
  <c r="J3" i="14"/>
  <c r="J3" i="15"/>
  <c r="K24" i="14"/>
  <c r="J26" i="14"/>
  <c r="K26" i="14"/>
  <c r="A26" i="14"/>
  <c r="J4" i="15"/>
  <c r="J11" i="15"/>
  <c r="H11" i="15" s="1"/>
  <c r="C11" i="15"/>
  <c r="J5" i="15"/>
  <c r="I21" i="15"/>
  <c r="J21" i="15" s="1"/>
  <c r="K21" i="15" s="1"/>
  <c r="A21" i="15"/>
  <c r="I22" i="15"/>
  <c r="J22" i="15" s="1"/>
  <c r="K22" i="15" s="1"/>
  <c r="K23" i="15"/>
  <c r="I23" i="15"/>
  <c r="A23" i="15"/>
  <c r="I24" i="15"/>
  <c r="K25" i="15"/>
  <c r="I25" i="15"/>
  <c r="A25" i="15"/>
  <c r="I26" i="15"/>
  <c r="K27" i="15"/>
  <c r="I27" i="15"/>
  <c r="A27" i="15"/>
  <c r="J4" i="14"/>
  <c r="J4" i="13"/>
  <c r="K24" i="13"/>
  <c r="J26" i="13"/>
  <c r="K26" i="13"/>
  <c r="A26" i="13"/>
  <c r="J11" i="14"/>
  <c r="H11" i="14" s="1"/>
  <c r="C11" i="14"/>
  <c r="J5" i="14"/>
  <c r="A21" i="14"/>
  <c r="I22" i="14"/>
  <c r="J22" i="14" s="1"/>
  <c r="K22" i="14" s="1"/>
  <c r="K23" i="14"/>
  <c r="I23" i="14"/>
  <c r="A23" i="14"/>
  <c r="I24" i="14"/>
  <c r="K25" i="14"/>
  <c r="I25" i="14"/>
  <c r="A25" i="14"/>
  <c r="I26" i="14"/>
  <c r="K27" i="14"/>
  <c r="I27" i="14"/>
  <c r="A27" i="14"/>
  <c r="J3" i="12"/>
  <c r="J3" i="13"/>
  <c r="J11" i="13"/>
  <c r="H11" i="13" s="1"/>
  <c r="C11" i="13"/>
  <c r="J5" i="13"/>
  <c r="I21" i="13"/>
  <c r="J21" i="13" s="1"/>
  <c r="K21" i="13" s="1"/>
  <c r="A21" i="13"/>
  <c r="I22" i="13"/>
  <c r="J22" i="13" s="1"/>
  <c r="K22" i="13" s="1"/>
  <c r="K23" i="13"/>
  <c r="I23" i="13"/>
  <c r="A23" i="13"/>
  <c r="I24" i="13"/>
  <c r="K25" i="13"/>
  <c r="I25" i="13"/>
  <c r="A25" i="13"/>
  <c r="I26" i="13"/>
  <c r="K27" i="13"/>
  <c r="I27" i="13"/>
  <c r="A27" i="13"/>
  <c r="A24" i="11"/>
  <c r="A26" i="11"/>
  <c r="J11" i="12"/>
  <c r="H11" i="12" s="1"/>
  <c r="C11" i="12"/>
  <c r="J5" i="12"/>
  <c r="J4" i="12"/>
  <c r="J12" i="12"/>
  <c r="H12" i="12" s="1"/>
  <c r="J3" i="11"/>
  <c r="J11" i="11"/>
  <c r="H11" i="11" s="1"/>
  <c r="C11" i="11"/>
  <c r="J5" i="11"/>
  <c r="A23" i="11"/>
  <c r="A25" i="11"/>
  <c r="I27" i="11"/>
  <c r="A27" i="11"/>
  <c r="J27" i="11"/>
  <c r="K27" i="11" s="1"/>
  <c r="J12" i="11"/>
  <c r="H12" i="11" s="1"/>
  <c r="I24" i="11"/>
  <c r="J24" i="11" s="1"/>
  <c r="K24" i="11" s="1"/>
  <c r="I26" i="11"/>
  <c r="J26" i="11" s="1"/>
  <c r="K26" i="11" s="1"/>
  <c r="A24" i="8"/>
  <c r="A22" i="8"/>
  <c r="A24" i="9"/>
  <c r="A26" i="9"/>
  <c r="J4" i="9"/>
  <c r="J3" i="8"/>
  <c r="J3" i="9"/>
  <c r="A26" i="8"/>
  <c r="J11" i="9"/>
  <c r="H11" i="9" s="1"/>
  <c r="C11" i="9"/>
  <c r="J5" i="9"/>
  <c r="I24" i="9"/>
  <c r="J24" i="9" s="1"/>
  <c r="K24" i="9" s="1"/>
  <c r="A25" i="9"/>
  <c r="I26" i="9"/>
  <c r="J26" i="9" s="1"/>
  <c r="K26" i="9" s="1"/>
  <c r="I27" i="9"/>
  <c r="J27" i="9" s="1"/>
  <c r="K27" i="9" s="1"/>
  <c r="A27" i="9"/>
  <c r="J4" i="8"/>
  <c r="J11" i="8"/>
  <c r="H11" i="8" s="1"/>
  <c r="C11" i="8"/>
  <c r="J5" i="8"/>
  <c r="I23" i="8"/>
  <c r="J23" i="8" s="1"/>
  <c r="K23" i="8" s="1"/>
  <c r="A23" i="8"/>
  <c r="I24" i="8"/>
  <c r="J24" i="8" s="1"/>
  <c r="K24" i="8" s="1"/>
  <c r="I25" i="8"/>
  <c r="J25" i="8" s="1"/>
  <c r="K25" i="8" s="1"/>
  <c r="A25" i="8"/>
  <c r="I26" i="8"/>
  <c r="J26" i="8" s="1"/>
  <c r="K26" i="8" s="1"/>
  <c r="I27" i="8"/>
  <c r="J27" i="8" s="1"/>
  <c r="K27" i="8" s="1"/>
  <c r="A27" i="8"/>
  <c r="G22" i="7"/>
  <c r="A26" i="7"/>
  <c r="J3" i="7"/>
  <c r="J4" i="7"/>
  <c r="I27" i="7"/>
  <c r="A27" i="7"/>
  <c r="J27" i="7"/>
  <c r="K27" i="7" s="1"/>
  <c r="J11" i="7"/>
  <c r="H11" i="7" s="1"/>
  <c r="C11" i="7"/>
  <c r="J5" i="7"/>
  <c r="E28" i="7"/>
  <c r="A22" i="7"/>
  <c r="A23" i="7"/>
  <c r="I24" i="7"/>
  <c r="J24" i="7" s="1"/>
  <c r="K24" i="7" s="1"/>
  <c r="A24" i="7"/>
  <c r="I25" i="7"/>
  <c r="A25" i="7"/>
  <c r="J25" i="7"/>
  <c r="K25" i="7" s="1"/>
  <c r="I26" i="7"/>
  <c r="J26" i="7" s="1"/>
  <c r="K26" i="7" s="1"/>
  <c r="J12" i="6"/>
  <c r="H12" i="6" s="1"/>
  <c r="J11" i="6"/>
  <c r="H11" i="6" s="1"/>
  <c r="I3" i="5"/>
  <c r="I2" i="5"/>
  <c r="J5" i="6"/>
  <c r="C10" i="6"/>
  <c r="A162" i="25" s="1"/>
  <c r="J26" i="6"/>
  <c r="A26" i="6"/>
  <c r="A24" i="6"/>
  <c r="J3" i="6"/>
  <c r="I23" i="6"/>
  <c r="A23" i="6"/>
  <c r="J23" i="6"/>
  <c r="K23" i="6" s="1"/>
  <c r="K25" i="6"/>
  <c r="I25" i="6"/>
  <c r="A25" i="6"/>
  <c r="J25" i="6"/>
  <c r="K27" i="6"/>
  <c r="I27" i="6"/>
  <c r="A27" i="6"/>
  <c r="J27" i="6"/>
  <c r="J4" i="6"/>
  <c r="E28" i="6"/>
  <c r="I24" i="6"/>
  <c r="J24" i="6" s="1"/>
  <c r="K24" i="6" s="1"/>
  <c r="I26" i="6"/>
  <c r="K26" i="6"/>
  <c r="J25" i="11" l="1"/>
  <c r="K25" i="11" s="1"/>
  <c r="J23" i="11"/>
  <c r="K23" i="11" s="1"/>
  <c r="J23" i="7"/>
  <c r="K23" i="7" s="1"/>
  <c r="I22" i="7"/>
  <c r="J22" i="7" s="1"/>
  <c r="K22" i="7" s="1"/>
  <c r="J21" i="21"/>
  <c r="K21" i="21" s="1"/>
  <c r="J21" i="24"/>
  <c r="K21" i="24" s="1"/>
  <c r="J22" i="24"/>
  <c r="K22" i="24" s="1"/>
  <c r="J21" i="19"/>
  <c r="K21" i="19" s="1"/>
  <c r="J21" i="18"/>
  <c r="K21" i="18" s="1"/>
  <c r="A5" i="3" l="1"/>
  <c r="A6" i="3"/>
  <c r="B6" i="3" s="1"/>
  <c r="A7" i="3"/>
  <c r="A8" i="3"/>
  <c r="B8" i="3" s="1"/>
  <c r="A9" i="3"/>
  <c r="A10" i="3"/>
  <c r="B10" i="3" s="1"/>
  <c r="A11" i="3"/>
  <c r="A12" i="3"/>
  <c r="B12" i="3" s="1"/>
  <c r="A13" i="3"/>
  <c r="A14" i="3"/>
  <c r="B14" i="3" s="1"/>
  <c r="A15" i="3"/>
  <c r="A16" i="3"/>
  <c r="B16" i="3" s="1"/>
  <c r="A17" i="3"/>
  <c r="A18" i="3"/>
  <c r="B18" i="3" s="1"/>
  <c r="B21" i="7" s="1" a="1"/>
  <c r="B21" i="7" s="1"/>
  <c r="A19" i="3"/>
  <c r="A20" i="3"/>
  <c r="B20" i="3" s="1"/>
  <c r="A21" i="3"/>
  <c r="A22" i="3"/>
  <c r="A23" i="3"/>
  <c r="A24" i="3"/>
  <c r="B24" i="3" s="1"/>
  <c r="A25" i="3"/>
  <c r="A26" i="3"/>
  <c r="B26" i="3" s="1"/>
  <c r="A27" i="3"/>
  <c r="A28" i="3"/>
  <c r="B28" i="3" s="1"/>
  <c r="A29" i="3"/>
  <c r="A30" i="3"/>
  <c r="B30" i="3" s="1"/>
  <c r="A31" i="3"/>
  <c r="A32" i="3"/>
  <c r="B32" i="3" s="1"/>
  <c r="A33" i="3"/>
  <c r="A34" i="3"/>
  <c r="B34" i="3" s="1"/>
  <c r="A35" i="3"/>
  <c r="A36" i="3"/>
  <c r="B36" i="3" s="1"/>
  <c r="A37" i="3"/>
  <c r="A38" i="3"/>
  <c r="B38" i="3" s="1"/>
  <c r="A39" i="3"/>
  <c r="A40" i="3"/>
  <c r="B40" i="3" s="1"/>
  <c r="A41" i="3"/>
  <c r="A42" i="3"/>
  <c r="B42" i="3" s="1"/>
  <c r="B23" i="9" s="1" a="1"/>
  <c r="B23" i="9" s="1"/>
  <c r="A43" i="3"/>
  <c r="A44" i="3"/>
  <c r="B44" i="3" s="1"/>
  <c r="A45" i="3"/>
  <c r="A46" i="3"/>
  <c r="B46" i="3" s="1"/>
  <c r="A47" i="3"/>
  <c r="A48" i="3"/>
  <c r="B48" i="3" s="1"/>
  <c r="A49" i="3"/>
  <c r="A50" i="3"/>
  <c r="B50" i="3" s="1"/>
  <c r="A4" i="3"/>
  <c r="C12" i="4"/>
  <c r="B161" i="25" s="1"/>
  <c r="B23" i="4" a="1"/>
  <c r="B23" i="4" s="1"/>
  <c r="B25" i="4" a="1"/>
  <c r="B25" i="4" s="1"/>
  <c r="B26" i="4" a="1"/>
  <c r="B26" i="4" s="1"/>
  <c r="B27" i="4" a="1"/>
  <c r="B27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D23" i="4" a="1"/>
  <c r="D23" i="4" s="1"/>
  <c r="D24" i="4" a="1"/>
  <c r="D24" i="4" s="1"/>
  <c r="D25" i="4" a="1"/>
  <c r="D25" i="4" s="1"/>
  <c r="D26" i="4" a="1"/>
  <c r="D26" i="4" s="1"/>
  <c r="D27" i="4" a="1"/>
  <c r="D27" i="4" s="1"/>
  <c r="E13" i="3"/>
  <c r="E14" i="3"/>
  <c r="E15" i="3"/>
  <c r="E16" i="3"/>
  <c r="E17" i="3"/>
  <c r="E18" i="3"/>
  <c r="F21" i="7" s="1" a="1"/>
  <c r="F21" i="7" s="1"/>
  <c r="G21" i="7" s="1"/>
  <c r="E19" i="3"/>
  <c r="F22" i="12" s="1" a="1"/>
  <c r="F22" i="12" s="1"/>
  <c r="G22" i="12" s="1"/>
  <c r="E20" i="3"/>
  <c r="E21" i="3"/>
  <c r="E22" i="3"/>
  <c r="E23" i="3"/>
  <c r="F17" i="19" s="1" a="1"/>
  <c r="F17" i="19" s="1"/>
  <c r="E24" i="3"/>
  <c r="F18" i="19" s="1" a="1"/>
  <c r="F18" i="19" s="1"/>
  <c r="E25" i="3"/>
  <c r="E26" i="3"/>
  <c r="E27" i="3"/>
  <c r="E28" i="3"/>
  <c r="E29" i="3"/>
  <c r="E30" i="3"/>
  <c r="E31" i="3"/>
  <c r="F25" i="12" s="1" a="1"/>
  <c r="F25" i="12" s="1"/>
  <c r="G25" i="12" s="1"/>
  <c r="E32" i="3"/>
  <c r="E33" i="3"/>
  <c r="F26" i="12" s="1" a="1"/>
  <c r="F26" i="12" s="1"/>
  <c r="G26" i="12" s="1"/>
  <c r="E34" i="3"/>
  <c r="E35" i="3"/>
  <c r="E36" i="3"/>
  <c r="E37" i="3"/>
  <c r="E38" i="3"/>
  <c r="E39" i="3"/>
  <c r="F20" i="15" s="1" a="1"/>
  <c r="F20" i="15" s="1"/>
  <c r="G20" i="15" s="1"/>
  <c r="E40" i="3"/>
  <c r="E41" i="3"/>
  <c r="E42" i="3"/>
  <c r="F23" i="9" s="1" a="1"/>
  <c r="F23" i="9" s="1"/>
  <c r="G23" i="9" s="1"/>
  <c r="E43" i="3"/>
  <c r="E44" i="3"/>
  <c r="E45" i="3"/>
  <c r="E46" i="3"/>
  <c r="E47" i="3"/>
  <c r="E48" i="3"/>
  <c r="E49" i="3"/>
  <c r="E50" i="3"/>
  <c r="E5" i="3"/>
  <c r="E6" i="3"/>
  <c r="E7" i="3"/>
  <c r="E8" i="3"/>
  <c r="E9" i="3"/>
  <c r="F19" i="22" s="1" a="1"/>
  <c r="F19" i="22" s="1"/>
  <c r="E10" i="3"/>
  <c r="E11" i="3"/>
  <c r="E12" i="3"/>
  <c r="F15" i="9" s="1" a="1"/>
  <c r="F15" i="9" s="1"/>
  <c r="E17" i="4" a="1"/>
  <c r="E17" i="4" s="1"/>
  <c r="E18" i="4" a="1"/>
  <c r="E18" i="4" s="1"/>
  <c r="E19" i="4" a="1"/>
  <c r="E19" i="4" s="1"/>
  <c r="E20" i="4" a="1"/>
  <c r="E20" i="4" s="1"/>
  <c r="E21" i="4" a="1"/>
  <c r="E21" i="4" s="1"/>
  <c r="E22" i="4" a="1"/>
  <c r="E22" i="4" s="1"/>
  <c r="E23" i="4" a="1"/>
  <c r="E23" i="4" s="1"/>
  <c r="G23" i="4" s="1"/>
  <c r="E24" i="4" a="1"/>
  <c r="E24" i="4" s="1"/>
  <c r="G24" i="4" s="1"/>
  <c r="E25" i="4" a="1"/>
  <c r="E25" i="4" s="1"/>
  <c r="G25" i="4" s="1"/>
  <c r="E26" i="4" a="1"/>
  <c r="E26" i="4" s="1"/>
  <c r="G26" i="4" s="1"/>
  <c r="E27" i="4" a="1"/>
  <c r="E27" i="4" s="1"/>
  <c r="G27" i="4" s="1"/>
  <c r="E16" i="4" a="1"/>
  <c r="E16" i="4" s="1"/>
  <c r="E15" i="4" a="1"/>
  <c r="E15" i="4" s="1"/>
  <c r="C16" i="3"/>
  <c r="C17" i="3"/>
  <c r="C18" i="3"/>
  <c r="D21" i="7" s="1" a="1"/>
  <c r="D21" i="7" s="1"/>
  <c r="C19" i="3"/>
  <c r="D22" i="12" s="1" a="1"/>
  <c r="D22" i="12" s="1"/>
  <c r="C20" i="3"/>
  <c r="C21" i="3"/>
  <c r="C22" i="3"/>
  <c r="C23" i="3"/>
  <c r="C24" i="3"/>
  <c r="C25" i="3"/>
  <c r="C26" i="3"/>
  <c r="C27" i="3"/>
  <c r="C28" i="3"/>
  <c r="C29" i="3"/>
  <c r="C30" i="3"/>
  <c r="C31" i="3"/>
  <c r="D25" i="12" s="1" a="1"/>
  <c r="D25" i="12" s="1"/>
  <c r="C32" i="3"/>
  <c r="C33" i="3"/>
  <c r="D26" i="12" s="1" a="1"/>
  <c r="D26" i="12" s="1"/>
  <c r="C34" i="3"/>
  <c r="C35" i="3"/>
  <c r="C36" i="3"/>
  <c r="C37" i="3"/>
  <c r="C38" i="3"/>
  <c r="C39" i="3"/>
  <c r="D20" i="15" s="1" a="1"/>
  <c r="D20" i="15" s="1"/>
  <c r="C40" i="3"/>
  <c r="C41" i="3"/>
  <c r="C42" i="3"/>
  <c r="D23" i="9" s="1" a="1"/>
  <c r="D23" i="9" s="1"/>
  <c r="C43" i="3"/>
  <c r="C44" i="3"/>
  <c r="C45" i="3"/>
  <c r="C46" i="3"/>
  <c r="C47" i="3"/>
  <c r="C48" i="3"/>
  <c r="C49" i="3"/>
  <c r="C50" i="3"/>
  <c r="C5" i="3"/>
  <c r="C6" i="3"/>
  <c r="C7" i="3"/>
  <c r="C8" i="3"/>
  <c r="C9" i="3"/>
  <c r="C10" i="3"/>
  <c r="C11" i="3"/>
  <c r="D22" i="6" s="1" a="1"/>
  <c r="D22" i="6" s="1"/>
  <c r="C12" i="3"/>
  <c r="D15" i="9" s="1" a="1"/>
  <c r="D15" i="9" s="1"/>
  <c r="C13" i="3"/>
  <c r="C14" i="3"/>
  <c r="C15" i="3"/>
  <c r="C4" i="3"/>
  <c r="E4" i="3"/>
  <c r="B7" i="3"/>
  <c r="B9" i="3"/>
  <c r="B11" i="3"/>
  <c r="B22" i="6" s="1" a="1"/>
  <c r="B22" i="6" s="1"/>
  <c r="H22" i="6" s="1"/>
  <c r="B13" i="3"/>
  <c r="B15" i="3"/>
  <c r="B18" i="9" s="1" a="1"/>
  <c r="B18" i="9" s="1"/>
  <c r="B17" i="3"/>
  <c r="B19" i="3"/>
  <c r="B22" i="12" s="1" a="1"/>
  <c r="B22" i="12" s="1"/>
  <c r="B21" i="3"/>
  <c r="B23" i="3"/>
  <c r="B25" i="3"/>
  <c r="B27" i="3"/>
  <c r="B29" i="3"/>
  <c r="B31" i="3"/>
  <c r="B25" i="12" s="1" a="1"/>
  <c r="B25" i="12" s="1"/>
  <c r="B33" i="3"/>
  <c r="B26" i="12" s="1" a="1"/>
  <c r="B26" i="12" s="1"/>
  <c r="B35" i="3"/>
  <c r="B37" i="3"/>
  <c r="B39" i="3"/>
  <c r="B20" i="15" s="1" a="1"/>
  <c r="B20" i="15" s="1"/>
  <c r="B41" i="3"/>
  <c r="B43" i="3"/>
  <c r="B45" i="3"/>
  <c r="B47" i="3"/>
  <c r="B49" i="3"/>
  <c r="B51" i="3"/>
  <c r="B5" i="3"/>
  <c r="B4" i="3"/>
  <c r="H20" i="15" l="1"/>
  <c r="I20" i="15" s="1"/>
  <c r="J20" i="15" s="1"/>
  <c r="K20" i="15" s="1"/>
  <c r="A20" i="15"/>
  <c r="B21" i="16" a="1"/>
  <c r="B21" i="16" s="1"/>
  <c r="H21" i="16" s="1"/>
  <c r="B19" i="15" a="1"/>
  <c r="B19" i="15" s="1"/>
  <c r="H19" i="15" s="1"/>
  <c r="D21" i="16" a="1"/>
  <c r="D21" i="16" s="1"/>
  <c r="D19" i="15" a="1"/>
  <c r="D19" i="15" s="1"/>
  <c r="F21" i="16" a="1"/>
  <c r="F21" i="16" s="1"/>
  <c r="G21" i="16" s="1"/>
  <c r="F19" i="15" a="1"/>
  <c r="F19" i="15" s="1"/>
  <c r="G19" i="15" s="1"/>
  <c r="I19" i="15" s="1"/>
  <c r="A23" i="9"/>
  <c r="I23" i="9"/>
  <c r="J23" i="9" s="1"/>
  <c r="K23" i="9" s="1"/>
  <c r="B27" i="12" a="1"/>
  <c r="B27" i="12" s="1"/>
  <c r="A27" i="12" s="1"/>
  <c r="B22" i="9" a="1"/>
  <c r="B22" i="9" s="1"/>
  <c r="D27" i="12" a="1"/>
  <c r="D27" i="12" s="1"/>
  <c r="D22" i="9" a="1"/>
  <c r="D22" i="9" s="1"/>
  <c r="F27" i="12" a="1"/>
  <c r="F27" i="12" s="1"/>
  <c r="G27" i="12" s="1"/>
  <c r="F22" i="9" a="1"/>
  <c r="F22" i="9" s="1"/>
  <c r="G22" i="9" s="1"/>
  <c r="D16" i="9" a="1"/>
  <c r="D16" i="9" s="1"/>
  <c r="H21" i="7"/>
  <c r="I21" i="7" s="1"/>
  <c r="J21" i="7" s="1"/>
  <c r="K21" i="7" s="1"/>
  <c r="A21" i="7"/>
  <c r="B17" i="9" a="1"/>
  <c r="B17" i="9" s="1"/>
  <c r="A17" i="9" s="1"/>
  <c r="B15" i="9" a="1"/>
  <c r="B15" i="9" s="1"/>
  <c r="B21" i="8" a="1"/>
  <c r="B21" i="8" s="1"/>
  <c r="H21" i="8" s="1"/>
  <c r="B21" i="9" a="1"/>
  <c r="B21" i="9" s="1"/>
  <c r="D21" i="8" a="1"/>
  <c r="D21" i="8" s="1"/>
  <c r="D21" i="9" a="1"/>
  <c r="D21" i="9" s="1"/>
  <c r="F21" i="8" a="1"/>
  <c r="F21" i="8" s="1"/>
  <c r="G21" i="8" s="1"/>
  <c r="F21" i="9" a="1"/>
  <c r="F21" i="9" s="1"/>
  <c r="G21" i="9" s="1"/>
  <c r="F17" i="9" a="1"/>
  <c r="F17" i="9" s="1"/>
  <c r="G17" i="9" s="1"/>
  <c r="B16" i="9" a="1"/>
  <c r="B16" i="9" s="1"/>
  <c r="F16" i="9" a="1"/>
  <c r="F16" i="9" s="1"/>
  <c r="G16" i="9" s="1"/>
  <c r="B16" i="16" a="1"/>
  <c r="B16" i="16" s="1"/>
  <c r="H16" i="16" s="1"/>
  <c r="B24" i="12" a="1"/>
  <c r="B24" i="12" s="1"/>
  <c r="B21" i="11" a="1"/>
  <c r="B21" i="11" s="1"/>
  <c r="A21" i="11" s="1"/>
  <c r="B20" i="9" a="1"/>
  <c r="B20" i="9" s="1"/>
  <c r="B20" i="8" a="1"/>
  <c r="B20" i="8" s="1"/>
  <c r="B21" i="12" a="1"/>
  <c r="B21" i="12" s="1"/>
  <c r="B20" i="7" a="1"/>
  <c r="B20" i="7" s="1"/>
  <c r="B19" i="4" a="1"/>
  <c r="B19" i="4" s="1"/>
  <c r="H19" i="4" s="1"/>
  <c r="H25" i="12"/>
  <c r="I25" i="12" s="1"/>
  <c r="J25" i="12" s="1"/>
  <c r="K25" i="12" s="1"/>
  <c r="A25" i="12"/>
  <c r="A22" i="12"/>
  <c r="I22" i="12"/>
  <c r="J22" i="12" s="1"/>
  <c r="K22" i="12" s="1"/>
  <c r="D16" i="16" a="1"/>
  <c r="D16" i="16" s="1"/>
  <c r="D24" i="12" a="1"/>
  <c r="D24" i="12" s="1"/>
  <c r="D21" i="11" a="1"/>
  <c r="D21" i="11" s="1"/>
  <c r="D21" i="12" a="1"/>
  <c r="D21" i="12" s="1"/>
  <c r="D20" i="9" a="1"/>
  <c r="D20" i="9" s="1"/>
  <c r="D20" i="8" a="1"/>
  <c r="D20" i="8" s="1"/>
  <c r="D20" i="7" a="1"/>
  <c r="D20" i="7" s="1"/>
  <c r="D17" i="7" a="1"/>
  <c r="D17" i="7" s="1"/>
  <c r="F16" i="16" a="1"/>
  <c r="F16" i="16" s="1"/>
  <c r="G16" i="16" s="1"/>
  <c r="F24" i="12" a="1"/>
  <c r="F24" i="12" s="1"/>
  <c r="G24" i="12" s="1"/>
  <c r="F21" i="11" a="1"/>
  <c r="F21" i="11" s="1"/>
  <c r="G21" i="11" s="1"/>
  <c r="F21" i="12" a="1"/>
  <c r="F21" i="12" s="1"/>
  <c r="G21" i="12" s="1"/>
  <c r="F20" i="8" a="1"/>
  <c r="F20" i="8" s="1"/>
  <c r="G20" i="8" s="1"/>
  <c r="F20" i="7" a="1"/>
  <c r="F20" i="7" s="1"/>
  <c r="G20" i="7" s="1"/>
  <c r="F20" i="9" a="1"/>
  <c r="F20" i="9" s="1"/>
  <c r="G20" i="9" s="1"/>
  <c r="H26" i="12"/>
  <c r="A26" i="12"/>
  <c r="I26" i="12"/>
  <c r="J26" i="12" s="1"/>
  <c r="K26" i="12" s="1"/>
  <c r="B20" i="21" a="1"/>
  <c r="B20" i="21" s="1"/>
  <c r="A20" i="21" s="1"/>
  <c r="B23" i="12" a="1"/>
  <c r="B23" i="12" s="1"/>
  <c r="B19" i="9" a="1"/>
  <c r="B19" i="9" s="1"/>
  <c r="B19" i="8" a="1"/>
  <c r="B19" i="8" s="1"/>
  <c r="H19" i="8" s="1"/>
  <c r="D20" i="21" a="1"/>
  <c r="D20" i="21" s="1"/>
  <c r="D23" i="12" a="1"/>
  <c r="D23" i="12" s="1"/>
  <c r="D19" i="9" a="1"/>
  <c r="D19" i="9" s="1"/>
  <c r="D19" i="8" a="1"/>
  <c r="D19" i="8" s="1"/>
  <c r="D19" i="7" a="1"/>
  <c r="D19" i="7" s="1"/>
  <c r="F20" i="21" a="1"/>
  <c r="F20" i="21" s="1"/>
  <c r="G20" i="21" s="1"/>
  <c r="F23" i="12" a="1"/>
  <c r="F23" i="12" s="1"/>
  <c r="G23" i="12" s="1"/>
  <c r="F19" i="9" a="1"/>
  <c r="F19" i="9" s="1"/>
  <c r="G19" i="9" s="1"/>
  <c r="F19" i="8" a="1"/>
  <c r="F19" i="8" s="1"/>
  <c r="G19" i="8" s="1"/>
  <c r="F18" i="9" a="1"/>
  <c r="F18" i="9" s="1"/>
  <c r="G18" i="9" s="1"/>
  <c r="I18" i="9" s="1"/>
  <c r="J18" i="9" s="1"/>
  <c r="K18" i="9" s="1"/>
  <c r="B15" i="8" a="1"/>
  <c r="B15" i="8" s="1"/>
  <c r="H15" i="8" s="1"/>
  <c r="B22" i="11" a="1"/>
  <c r="B22" i="11" s="1"/>
  <c r="D15" i="7" a="1"/>
  <c r="D15" i="7" s="1"/>
  <c r="D17" i="9" a="1"/>
  <c r="D17" i="9" s="1"/>
  <c r="D18" i="9" a="1"/>
  <c r="D18" i="9" s="1"/>
  <c r="D16" i="7" a="1"/>
  <c r="D16" i="7" s="1"/>
  <c r="D15" i="8" a="1"/>
  <c r="D15" i="8" s="1"/>
  <c r="D22" i="11" a="1"/>
  <c r="D22" i="11" s="1"/>
  <c r="D18" i="7" a="1"/>
  <c r="D18" i="7" s="1"/>
  <c r="F15" i="8" a="1"/>
  <c r="F15" i="8" s="1"/>
  <c r="G15" i="8" s="1"/>
  <c r="F22" i="11" a="1"/>
  <c r="F22" i="11" s="1"/>
  <c r="G22" i="11" s="1"/>
  <c r="F20" i="19" a="1"/>
  <c r="F20" i="19" s="1"/>
  <c r="G20" i="19" s="1"/>
  <c r="F20" i="20" a="1"/>
  <c r="F20" i="20" s="1"/>
  <c r="G20" i="20" s="1"/>
  <c r="F18" i="20" a="1"/>
  <c r="F18" i="20" s="1"/>
  <c r="G18" i="20" s="1"/>
  <c r="F18" i="24" a="1"/>
  <c r="F18" i="24" s="1"/>
  <c r="F16" i="19" a="1"/>
  <c r="F16" i="19" s="1"/>
  <c r="G16" i="19" s="1"/>
  <c r="F16" i="20" a="1"/>
  <c r="F16" i="20" s="1"/>
  <c r="G16" i="20" s="1"/>
  <c r="F20" i="16" a="1"/>
  <c r="F20" i="16" s="1"/>
  <c r="G20" i="16" s="1"/>
  <c r="F16" i="24" a="1"/>
  <c r="F16" i="24" s="1"/>
  <c r="F18" i="16" a="1"/>
  <c r="F18" i="16" s="1"/>
  <c r="G18" i="16" s="1"/>
  <c r="F19" i="21" a="1"/>
  <c r="F19" i="21" s="1"/>
  <c r="F18" i="15" a="1"/>
  <c r="F18" i="15" s="1"/>
  <c r="F17" i="21" a="1"/>
  <c r="F17" i="21" s="1"/>
  <c r="F20" i="17" a="1"/>
  <c r="F20" i="17" s="1"/>
  <c r="G20" i="17" s="1"/>
  <c r="F16" i="15" a="1"/>
  <c r="F16" i="15" s="1"/>
  <c r="G16" i="15" s="1"/>
  <c r="F19" i="18" a="1"/>
  <c r="F19" i="18" s="1"/>
  <c r="G19" i="18" s="1"/>
  <c r="F15" i="21" a="1"/>
  <c r="F15" i="21" s="1"/>
  <c r="G15" i="21" s="1"/>
  <c r="F19" i="13" a="1"/>
  <c r="F19" i="13" s="1"/>
  <c r="G19" i="13" s="1"/>
  <c r="F19" i="12" a="1"/>
  <c r="F19" i="12" s="1"/>
  <c r="G19" i="12" s="1"/>
  <c r="F18" i="17" a="1"/>
  <c r="F18" i="17" s="1"/>
  <c r="G18" i="17" s="1"/>
  <c r="F19" i="14" a="1"/>
  <c r="F19" i="14" s="1"/>
  <c r="F19" i="11" a="1"/>
  <c r="F19" i="11" s="1"/>
  <c r="G19" i="11" s="1"/>
  <c r="F17" i="18" a="1"/>
  <c r="F17" i="18" s="1"/>
  <c r="G17" i="18" s="1"/>
  <c r="F17" i="13" a="1"/>
  <c r="F17" i="13" s="1"/>
  <c r="G17" i="13" s="1"/>
  <c r="F17" i="12" a="1"/>
  <c r="F17" i="12" s="1"/>
  <c r="G17" i="12" s="1"/>
  <c r="F16" i="17" a="1"/>
  <c r="F16" i="17" s="1"/>
  <c r="G16" i="17" s="1"/>
  <c r="F17" i="14" a="1"/>
  <c r="F17" i="14" s="1"/>
  <c r="G17" i="14" s="1"/>
  <c r="F17" i="11" a="1"/>
  <c r="F17" i="11" s="1"/>
  <c r="G17" i="11" s="1"/>
  <c r="F18" i="8" a="1"/>
  <c r="F18" i="8" s="1"/>
  <c r="G18" i="8" s="1"/>
  <c r="F15" i="18" a="1"/>
  <c r="F15" i="18" s="1"/>
  <c r="G15" i="18" s="1"/>
  <c r="F15" i="16" a="1"/>
  <c r="F15" i="16" s="1"/>
  <c r="G15" i="16" s="1"/>
  <c r="F15" i="12" a="1"/>
  <c r="F15" i="12" s="1"/>
  <c r="G15" i="12" s="1"/>
  <c r="F15" i="15" a="1"/>
  <c r="F15" i="15" s="1"/>
  <c r="G15" i="15" s="1"/>
  <c r="F15" i="14" a="1"/>
  <c r="F15" i="14" s="1"/>
  <c r="G15" i="14" s="1"/>
  <c r="F15" i="13" a="1"/>
  <c r="F15" i="13" s="1"/>
  <c r="G15" i="13" s="1"/>
  <c r="F15" i="11" a="1"/>
  <c r="F15" i="11" s="1"/>
  <c r="G15" i="11" s="1"/>
  <c r="F16" i="8" a="1"/>
  <c r="F16" i="8" s="1"/>
  <c r="G16" i="8" s="1"/>
  <c r="J27" i="4"/>
  <c r="H27" i="4"/>
  <c r="J25" i="4"/>
  <c r="H25" i="4"/>
  <c r="B17" i="20" a="1"/>
  <c r="B17" i="20" s="1"/>
  <c r="H17" i="20" s="1"/>
  <c r="B19" i="24" a="1"/>
  <c r="B19" i="24" s="1"/>
  <c r="H19" i="24" s="1"/>
  <c r="B17" i="19" a="1"/>
  <c r="B17" i="19" s="1"/>
  <c r="B15" i="24" a="1"/>
  <c r="B15" i="24" s="1"/>
  <c r="H15" i="24" s="1"/>
  <c r="B17" i="16" a="1"/>
  <c r="B17" i="16" s="1"/>
  <c r="H17" i="16" s="1"/>
  <c r="B18" i="21" a="1"/>
  <c r="B18" i="21" s="1"/>
  <c r="H18" i="21" s="1"/>
  <c r="B21" i="17" a="1"/>
  <c r="B21" i="17" s="1"/>
  <c r="B17" i="15" a="1"/>
  <c r="B17" i="15" s="1"/>
  <c r="H17" i="15" s="1"/>
  <c r="B18" i="18" a="1"/>
  <c r="B18" i="18" s="1"/>
  <c r="H18" i="18" s="1"/>
  <c r="B17" i="17" a="1"/>
  <c r="B17" i="17" s="1"/>
  <c r="H17" i="17" s="1"/>
  <c r="B18" i="14" a="1"/>
  <c r="B18" i="14" s="1"/>
  <c r="H18" i="14" s="1"/>
  <c r="B18" i="13" a="1"/>
  <c r="B18" i="13" s="1"/>
  <c r="H18" i="13" s="1"/>
  <c r="B18" i="11" a="1"/>
  <c r="B18" i="11" s="1"/>
  <c r="H18" i="11" s="1"/>
  <c r="B18" i="12" a="1"/>
  <c r="B18" i="12" s="1"/>
  <c r="B17" i="22" a="1"/>
  <c r="B17" i="22" s="1"/>
  <c r="H17" i="22" s="1"/>
  <c r="D21" i="6" a="1"/>
  <c r="D21" i="6" s="1"/>
  <c r="D20" i="22" a="1"/>
  <c r="D20" i="22" s="1"/>
  <c r="D19" i="6" a="1"/>
  <c r="D19" i="6" s="1"/>
  <c r="D18" i="22" a="1"/>
  <c r="D18" i="22" s="1"/>
  <c r="D16" i="22" a="1"/>
  <c r="D16" i="22" s="1"/>
  <c r="D20" i="19" a="1"/>
  <c r="D20" i="19" s="1"/>
  <c r="D20" i="20" a="1"/>
  <c r="D20" i="20" s="1"/>
  <c r="D18" i="19" a="1"/>
  <c r="D18" i="19" s="1"/>
  <c r="D18" i="20" a="1"/>
  <c r="D18" i="20" s="1"/>
  <c r="D16" i="19" a="1"/>
  <c r="D16" i="19" s="1"/>
  <c r="D18" i="24" a="1"/>
  <c r="D18" i="24" s="1"/>
  <c r="D16" i="20" a="1"/>
  <c r="D16" i="20" s="1"/>
  <c r="D20" i="16" a="1"/>
  <c r="D20" i="16" s="1"/>
  <c r="D16" i="24" a="1"/>
  <c r="D16" i="24" s="1"/>
  <c r="D18" i="16" a="1"/>
  <c r="D18" i="16" s="1"/>
  <c r="D19" i="21" a="1"/>
  <c r="D19" i="21" s="1"/>
  <c r="D18" i="15" a="1"/>
  <c r="D18" i="15" s="1"/>
  <c r="D17" i="21" a="1"/>
  <c r="D17" i="21" s="1"/>
  <c r="D20" i="17" a="1"/>
  <c r="D20" i="17" s="1"/>
  <c r="D16" i="15" a="1"/>
  <c r="D16" i="15" s="1"/>
  <c r="D15" i="21" a="1"/>
  <c r="D15" i="21" s="1"/>
  <c r="D18" i="17" a="1"/>
  <c r="D18" i="17" s="1"/>
  <c r="D19" i="18" a="1"/>
  <c r="D19" i="18" s="1"/>
  <c r="D19" i="13" a="1"/>
  <c r="D19" i="13" s="1"/>
  <c r="D19" i="12" a="1"/>
  <c r="D19" i="12" s="1"/>
  <c r="D19" i="14" a="1"/>
  <c r="D19" i="14" s="1"/>
  <c r="D19" i="11" a="1"/>
  <c r="D19" i="11" s="1"/>
  <c r="D16" i="17" a="1"/>
  <c r="D16" i="17" s="1"/>
  <c r="D17" i="18" a="1"/>
  <c r="D17" i="18" s="1"/>
  <c r="D17" i="13" a="1"/>
  <c r="D17" i="13" s="1"/>
  <c r="D17" i="12" a="1"/>
  <c r="D17" i="12" s="1"/>
  <c r="D18" i="8" a="1"/>
  <c r="D18" i="8" s="1"/>
  <c r="D17" i="14" a="1"/>
  <c r="D17" i="14" s="1"/>
  <c r="D17" i="11" a="1"/>
  <c r="D17" i="11" s="1"/>
  <c r="D15" i="15" a="1"/>
  <c r="D15" i="15" s="1"/>
  <c r="D15" i="14" a="1"/>
  <c r="D15" i="14" s="1"/>
  <c r="D15" i="12" a="1"/>
  <c r="D15" i="12" s="1"/>
  <c r="D16" i="8" a="1"/>
  <c r="D16" i="8" s="1"/>
  <c r="D15" i="18" a="1"/>
  <c r="D15" i="18" s="1"/>
  <c r="D15" i="16" a="1"/>
  <c r="D15" i="16" s="1"/>
  <c r="D15" i="13" a="1"/>
  <c r="D15" i="13" s="1"/>
  <c r="D15" i="11" a="1"/>
  <c r="D15" i="11" s="1"/>
  <c r="F21" i="6" a="1"/>
  <c r="F21" i="6" s="1"/>
  <c r="G21" i="6" s="1"/>
  <c r="F20" i="22" a="1"/>
  <c r="F20" i="22" s="1"/>
  <c r="G20" i="22" s="1"/>
  <c r="F19" i="6" a="1"/>
  <c r="F19" i="6" s="1"/>
  <c r="G19" i="6" s="1"/>
  <c r="F18" i="22" a="1"/>
  <c r="F18" i="22" s="1"/>
  <c r="F16" i="22" a="1"/>
  <c r="F16" i="22" s="1"/>
  <c r="G16" i="22" s="1"/>
  <c r="B15" i="22" a="1"/>
  <c r="B15" i="22" s="1"/>
  <c r="H15" i="22" s="1"/>
  <c r="B19" i="20" a="1"/>
  <c r="B19" i="20" s="1"/>
  <c r="H19" i="20" s="1"/>
  <c r="B19" i="19" a="1"/>
  <c r="B19" i="19" s="1"/>
  <c r="B15" i="20" a="1"/>
  <c r="B15" i="20" s="1"/>
  <c r="H15" i="20" s="1"/>
  <c r="B17" i="24" a="1"/>
  <c r="B17" i="24" s="1"/>
  <c r="H17" i="24" s="1"/>
  <c r="B15" i="19" a="1"/>
  <c r="B15" i="19" s="1"/>
  <c r="A15" i="19" s="1"/>
  <c r="B19" i="16" a="1"/>
  <c r="B19" i="16" s="1"/>
  <c r="H19" i="16" s="1"/>
  <c r="H20" i="21"/>
  <c r="B20" i="14" a="1"/>
  <c r="B20" i="14" s="1"/>
  <c r="B20" i="13" a="1"/>
  <c r="B20" i="13" s="1"/>
  <c r="B20" i="11" a="1"/>
  <c r="B20" i="11" s="1"/>
  <c r="B19" i="17" a="1"/>
  <c r="B19" i="17" s="1"/>
  <c r="H19" i="17" s="1"/>
  <c r="B20" i="12" a="1"/>
  <c r="B20" i="12" s="1"/>
  <c r="B15" i="17" a="1"/>
  <c r="B15" i="17" s="1"/>
  <c r="H15" i="17" s="1"/>
  <c r="B16" i="18" a="1"/>
  <c r="B16" i="18" s="1"/>
  <c r="H16" i="18" s="1"/>
  <c r="B16" i="14" a="1"/>
  <c r="B16" i="14" s="1"/>
  <c r="H16" i="14" s="1"/>
  <c r="B16" i="13" a="1"/>
  <c r="B16" i="13" s="1"/>
  <c r="H16" i="13" s="1"/>
  <c r="B16" i="11" a="1"/>
  <c r="B16" i="11" s="1"/>
  <c r="H16" i="11" s="1"/>
  <c r="B17" i="8" a="1"/>
  <c r="B17" i="8" s="1"/>
  <c r="H17" i="8" s="1"/>
  <c r="B16" i="12" a="1"/>
  <c r="B16" i="12" s="1"/>
  <c r="B20" i="6" a="1"/>
  <c r="B20" i="6" s="1"/>
  <c r="H20" i="6" s="1"/>
  <c r="B19" i="22" a="1"/>
  <c r="B19" i="22" s="1"/>
  <c r="H19" i="22" s="1"/>
  <c r="D20" i="6" a="1"/>
  <c r="D20" i="6" s="1"/>
  <c r="D19" i="22" a="1"/>
  <c r="D19" i="22" s="1"/>
  <c r="D17" i="22" a="1"/>
  <c r="D17" i="22" s="1"/>
  <c r="D15" i="22" a="1"/>
  <c r="D15" i="22" s="1"/>
  <c r="D19" i="19" a="1"/>
  <c r="D19" i="19" s="1"/>
  <c r="D19" i="20" a="1"/>
  <c r="D19" i="20" s="1"/>
  <c r="D19" i="24" a="1"/>
  <c r="D19" i="24" s="1"/>
  <c r="D17" i="19" a="1"/>
  <c r="D17" i="19" s="1"/>
  <c r="D17" i="20" a="1"/>
  <c r="D17" i="20" s="1"/>
  <c r="D17" i="24" a="1"/>
  <c r="D17" i="24" s="1"/>
  <c r="D15" i="19" a="1"/>
  <c r="D15" i="19" s="1"/>
  <c r="D15" i="20" a="1"/>
  <c r="D15" i="20" s="1"/>
  <c r="D19" i="16" a="1"/>
  <c r="D19" i="16" s="1"/>
  <c r="D15" i="24" a="1"/>
  <c r="D15" i="24" s="1"/>
  <c r="D17" i="16" a="1"/>
  <c r="D17" i="16" s="1"/>
  <c r="D18" i="21" a="1"/>
  <c r="D18" i="21" s="1"/>
  <c r="D21" i="17" a="1"/>
  <c r="D21" i="17" s="1"/>
  <c r="D17" i="15" a="1"/>
  <c r="D17" i="15" s="1"/>
  <c r="D16" i="21" a="1"/>
  <c r="D16" i="21" s="1"/>
  <c r="D19" i="17" a="1"/>
  <c r="D19" i="17" s="1"/>
  <c r="D20" i="12" a="1"/>
  <c r="D20" i="12" s="1"/>
  <c r="D20" i="14" a="1"/>
  <c r="D20" i="14" s="1"/>
  <c r="D20" i="13" a="1"/>
  <c r="D20" i="13" s="1"/>
  <c r="D20" i="11" a="1"/>
  <c r="D20" i="11" s="1"/>
  <c r="D17" i="17" a="1"/>
  <c r="D17" i="17" s="1"/>
  <c r="D18" i="12" a="1"/>
  <c r="D18" i="12" s="1"/>
  <c r="D18" i="18" a="1"/>
  <c r="D18" i="18" s="1"/>
  <c r="D18" i="14" a="1"/>
  <c r="D18" i="14" s="1"/>
  <c r="D18" i="13" a="1"/>
  <c r="D18" i="13" s="1"/>
  <c r="D18" i="11" a="1"/>
  <c r="D18" i="11" s="1"/>
  <c r="D15" i="17" a="1"/>
  <c r="D15" i="17" s="1"/>
  <c r="D16" i="12" a="1"/>
  <c r="D16" i="12" s="1"/>
  <c r="D16" i="18" a="1"/>
  <c r="D16" i="18" s="1"/>
  <c r="D16" i="14" a="1"/>
  <c r="D16" i="14" s="1"/>
  <c r="D16" i="13" a="1"/>
  <c r="D16" i="13" s="1"/>
  <c r="D17" i="8" a="1"/>
  <c r="D17" i="8" s="1"/>
  <c r="D16" i="11" a="1"/>
  <c r="D16" i="11" s="1"/>
  <c r="F17" i="22" a="1"/>
  <c r="F17" i="22" s="1"/>
  <c r="G17" i="22" s="1"/>
  <c r="F15" i="22" a="1"/>
  <c r="F15" i="22" s="1"/>
  <c r="F19" i="19" a="1"/>
  <c r="F19" i="19" s="1"/>
  <c r="G19" i="19" s="1"/>
  <c r="F19" i="20" a="1"/>
  <c r="F19" i="20" s="1"/>
  <c r="F19" i="24" a="1"/>
  <c r="F19" i="24" s="1"/>
  <c r="G17" i="19"/>
  <c r="F17" i="20" a="1"/>
  <c r="F17" i="20" s="1"/>
  <c r="F17" i="24" a="1"/>
  <c r="F17" i="24" s="1"/>
  <c r="G17" i="24" s="1"/>
  <c r="F15" i="19" a="1"/>
  <c r="F15" i="19" s="1"/>
  <c r="G15" i="19" s="1"/>
  <c r="F15" i="20" a="1"/>
  <c r="F15" i="20" s="1"/>
  <c r="G15" i="20" s="1"/>
  <c r="F19" i="16" a="1"/>
  <c r="F19" i="16" s="1"/>
  <c r="G19" i="16" s="1"/>
  <c r="F15" i="24" a="1"/>
  <c r="F15" i="24" s="1"/>
  <c r="G15" i="24" s="1"/>
  <c r="F17" i="16" a="1"/>
  <c r="F17" i="16" s="1"/>
  <c r="G17" i="16" s="1"/>
  <c r="F18" i="21" a="1"/>
  <c r="F18" i="21" s="1"/>
  <c r="G18" i="21" s="1"/>
  <c r="F21" i="17" a="1"/>
  <c r="F21" i="17" s="1"/>
  <c r="G21" i="17" s="1"/>
  <c r="F17" i="15" a="1"/>
  <c r="F17" i="15" s="1"/>
  <c r="G17" i="15" s="1"/>
  <c r="F16" i="21" a="1"/>
  <c r="F16" i="21" s="1"/>
  <c r="G16" i="21" s="1"/>
  <c r="F19" i="17" a="1"/>
  <c r="F19" i="17" s="1"/>
  <c r="G19" i="17" s="1"/>
  <c r="F20" i="12" a="1"/>
  <c r="F20" i="12" s="1"/>
  <c r="G20" i="12" s="1"/>
  <c r="F20" i="14" a="1"/>
  <c r="F20" i="14" s="1"/>
  <c r="G20" i="14" s="1"/>
  <c r="F20" i="13" a="1"/>
  <c r="F20" i="13" s="1"/>
  <c r="G20" i="13" s="1"/>
  <c r="F20" i="11" a="1"/>
  <c r="F20" i="11" s="1"/>
  <c r="G20" i="11" s="1"/>
  <c r="F18" i="18" a="1"/>
  <c r="F18" i="18" s="1"/>
  <c r="G18" i="18" s="1"/>
  <c r="F17" i="17" a="1"/>
  <c r="F17" i="17" s="1"/>
  <c r="G17" i="17" s="1"/>
  <c r="F18" i="12" a="1"/>
  <c r="F18" i="12" s="1"/>
  <c r="G18" i="12" s="1"/>
  <c r="F18" i="14" a="1"/>
  <c r="F18" i="14" s="1"/>
  <c r="G18" i="14" s="1"/>
  <c r="F18" i="13" a="1"/>
  <c r="F18" i="13" s="1"/>
  <c r="G18" i="13" s="1"/>
  <c r="F18" i="11" a="1"/>
  <c r="F18" i="11" s="1"/>
  <c r="G18" i="11" s="1"/>
  <c r="F16" i="18" a="1"/>
  <c r="F16" i="18" s="1"/>
  <c r="G16" i="18" s="1"/>
  <c r="F16" i="12" a="1"/>
  <c r="F16" i="12" s="1"/>
  <c r="G16" i="12" s="1"/>
  <c r="F15" i="17" a="1"/>
  <c r="F15" i="17" s="1"/>
  <c r="G15" i="17" s="1"/>
  <c r="F16" i="14" a="1"/>
  <c r="F16" i="14" s="1"/>
  <c r="G16" i="14" s="1"/>
  <c r="F16" i="13" a="1"/>
  <c r="F16" i="13" s="1"/>
  <c r="G16" i="13" s="1"/>
  <c r="F17" i="8" a="1"/>
  <c r="F17" i="8" s="1"/>
  <c r="G17" i="8" s="1"/>
  <c r="F16" i="11" a="1"/>
  <c r="F16" i="11" s="1"/>
  <c r="G16" i="11" s="1"/>
  <c r="K26" i="4"/>
  <c r="H26" i="4"/>
  <c r="H23" i="4"/>
  <c r="I23" i="4" s="1"/>
  <c r="J23" i="4" s="1"/>
  <c r="K23" i="4" s="1"/>
  <c r="J5" i="4"/>
  <c r="C2" i="5"/>
  <c r="C10" i="4"/>
  <c r="B20" i="20" a="1"/>
  <c r="B20" i="20" s="1"/>
  <c r="B20" i="19" a="1"/>
  <c r="B20" i="19" s="1"/>
  <c r="B18" i="20" a="1"/>
  <c r="B18" i="20" s="1"/>
  <c r="H18" i="20" s="1"/>
  <c r="B18" i="19" a="1"/>
  <c r="B18" i="19" s="1"/>
  <c r="B18" i="24" a="1"/>
  <c r="B18" i="24" s="1"/>
  <c r="H18" i="24" s="1"/>
  <c r="B16" i="20" a="1"/>
  <c r="B16" i="20" s="1"/>
  <c r="H16" i="20" s="1"/>
  <c r="B20" i="16" a="1"/>
  <c r="B20" i="16" s="1"/>
  <c r="B16" i="24" a="1"/>
  <c r="B16" i="24" s="1"/>
  <c r="H16" i="24" s="1"/>
  <c r="B18" i="16" a="1"/>
  <c r="B18" i="16" s="1"/>
  <c r="H18" i="16" s="1"/>
  <c r="B19" i="21" a="1"/>
  <c r="B19" i="21" s="1"/>
  <c r="H19" i="21" s="1"/>
  <c r="B18" i="15" a="1"/>
  <c r="B18" i="15" s="1"/>
  <c r="H18" i="15" s="1"/>
  <c r="B20" i="17" a="1"/>
  <c r="B20" i="17" s="1"/>
  <c r="B17" i="21" a="1"/>
  <c r="B17" i="21" s="1"/>
  <c r="H17" i="21" s="1"/>
  <c r="B16" i="15" a="1"/>
  <c r="B16" i="15" s="1"/>
  <c r="H16" i="15" s="1"/>
  <c r="B15" i="21" a="1"/>
  <c r="B15" i="21" s="1"/>
  <c r="H15" i="21" s="1"/>
  <c r="B18" i="17" a="1"/>
  <c r="B18" i="17" s="1"/>
  <c r="H18" i="17" s="1"/>
  <c r="B19" i="11" a="1"/>
  <c r="B19" i="11" s="1"/>
  <c r="H19" i="11" s="1"/>
  <c r="B19" i="18" a="1"/>
  <c r="B19" i="18" s="1"/>
  <c r="H19" i="18" s="1"/>
  <c r="B19" i="14" a="1"/>
  <c r="B19" i="14" s="1"/>
  <c r="H19" i="14" s="1"/>
  <c r="B19" i="13" a="1"/>
  <c r="B19" i="13" s="1"/>
  <c r="H19" i="13" s="1"/>
  <c r="B19" i="12" a="1"/>
  <c r="B19" i="12" s="1"/>
  <c r="B15" i="18" a="1"/>
  <c r="B15" i="18" s="1"/>
  <c r="H15" i="18" s="1"/>
  <c r="B15" i="15" a="1"/>
  <c r="B15" i="15" s="1"/>
  <c r="H15" i="15" s="1"/>
  <c r="B15" i="14" a="1"/>
  <c r="B15" i="14" s="1"/>
  <c r="H15" i="14" s="1"/>
  <c r="B15" i="13" a="1"/>
  <c r="B15" i="13" s="1"/>
  <c r="H15" i="13" s="1"/>
  <c r="B15" i="11" a="1"/>
  <c r="B15" i="11" s="1"/>
  <c r="H15" i="11" s="1"/>
  <c r="B15" i="16" a="1"/>
  <c r="B15" i="16" s="1"/>
  <c r="H15" i="16" s="1"/>
  <c r="B15" i="12" a="1"/>
  <c r="B15" i="12" s="1"/>
  <c r="B16" i="8" a="1"/>
  <c r="B16" i="8" s="1"/>
  <c r="H16" i="8" s="1"/>
  <c r="B21" i="6" a="1"/>
  <c r="B21" i="6" s="1"/>
  <c r="H21" i="6" s="1"/>
  <c r="B20" i="22" a="1"/>
  <c r="B20" i="22" s="1"/>
  <c r="B19" i="6" a="1"/>
  <c r="B19" i="6" s="1"/>
  <c r="H19" i="6" s="1"/>
  <c r="B18" i="22" a="1"/>
  <c r="B18" i="22" s="1"/>
  <c r="H18" i="22" s="1"/>
  <c r="B16" i="22" a="1"/>
  <c r="B16" i="22" s="1"/>
  <c r="H16" i="22" s="1"/>
  <c r="G19" i="24"/>
  <c r="G18" i="24"/>
  <c r="G16" i="24"/>
  <c r="G19" i="21"/>
  <c r="G19" i="22"/>
  <c r="G17" i="21"/>
  <c r="G18" i="22"/>
  <c r="G15" i="22"/>
  <c r="G19" i="20"/>
  <c r="G17" i="20"/>
  <c r="G18" i="19"/>
  <c r="G18" i="15"/>
  <c r="G19" i="14"/>
  <c r="A18" i="9"/>
  <c r="G15" i="9"/>
  <c r="F19" i="7" a="1"/>
  <c r="F19" i="7" s="1"/>
  <c r="G19" i="7" s="1"/>
  <c r="F17" i="7" a="1"/>
  <c r="F17" i="7" s="1"/>
  <c r="G17" i="7" s="1"/>
  <c r="B16" i="7" a="1"/>
  <c r="B16" i="7" s="1"/>
  <c r="H16" i="7" s="1"/>
  <c r="F22" i="6" a="1"/>
  <c r="F22" i="6" s="1"/>
  <c r="G22" i="6" s="1"/>
  <c r="I22" i="6" s="1"/>
  <c r="J22" i="6" s="1"/>
  <c r="K22" i="6" s="1"/>
  <c r="F20" i="6" a="1"/>
  <c r="F20" i="6" s="1"/>
  <c r="G20" i="6" s="1"/>
  <c r="F18" i="7" a="1"/>
  <c r="F18" i="7" s="1"/>
  <c r="G18" i="7" s="1"/>
  <c r="F16" i="7" a="1"/>
  <c r="F16" i="7" s="1"/>
  <c r="G16" i="7" s="1"/>
  <c r="B18" i="7" a="1"/>
  <c r="B18" i="7" s="1"/>
  <c r="H18" i="7" s="1"/>
  <c r="F15" i="7" a="1"/>
  <c r="F15" i="7" s="1"/>
  <c r="G15" i="7" s="1"/>
  <c r="B19" i="7" a="1"/>
  <c r="B19" i="7" s="1"/>
  <c r="H19" i="7" s="1"/>
  <c r="B17" i="7" a="1"/>
  <c r="B17" i="7" s="1"/>
  <c r="H17" i="7" s="1"/>
  <c r="B15" i="7" a="1"/>
  <c r="B15" i="7" s="1"/>
  <c r="H15" i="7" s="1"/>
  <c r="B15" i="6" a="1"/>
  <c r="B15" i="6" s="1"/>
  <c r="D15" i="6" a="1"/>
  <c r="D15" i="6" s="1"/>
  <c r="D18" i="6" a="1"/>
  <c r="D18" i="6" s="1"/>
  <c r="D17" i="6" a="1"/>
  <c r="D17" i="6" s="1"/>
  <c r="F18" i="6" a="1"/>
  <c r="F18" i="6" s="1"/>
  <c r="G18" i="6" s="1"/>
  <c r="F17" i="6" a="1"/>
  <c r="F17" i="6" s="1"/>
  <c r="G17" i="6" s="1"/>
  <c r="B16" i="6" a="1"/>
  <c r="B16" i="6" s="1"/>
  <c r="F15" i="6" a="1"/>
  <c r="F15" i="6" s="1"/>
  <c r="G15" i="6" s="1"/>
  <c r="D16" i="6" a="1"/>
  <c r="D16" i="6" s="1"/>
  <c r="F16" i="6" a="1"/>
  <c r="F16" i="6" s="1"/>
  <c r="G16" i="6" s="1"/>
  <c r="B18" i="6" a="1"/>
  <c r="B18" i="6" s="1"/>
  <c r="B17" i="6" a="1"/>
  <c r="B17" i="6" s="1"/>
  <c r="A22" i="6"/>
  <c r="D15" i="4" a="1"/>
  <c r="D15" i="4" s="1"/>
  <c r="D17" i="4" a="1"/>
  <c r="D17" i="4" s="1"/>
  <c r="D19" i="4" a="1"/>
  <c r="D19" i="4" s="1"/>
  <c r="F17" i="4" a="1"/>
  <c r="F17" i="4" s="1"/>
  <c r="G17" i="4" s="1"/>
  <c r="F21" i="4" a="1"/>
  <c r="F21" i="4" s="1"/>
  <c r="G21" i="4" s="1"/>
  <c r="F19" i="4" a="1"/>
  <c r="F19" i="4" s="1"/>
  <c r="G19" i="4" s="1"/>
  <c r="B21" i="4" a="1"/>
  <c r="B21" i="4" s="1"/>
  <c r="A25" i="4"/>
  <c r="I27" i="4"/>
  <c r="K27" i="4"/>
  <c r="A27" i="4"/>
  <c r="I25" i="4"/>
  <c r="K25" i="4"/>
  <c r="A23" i="4"/>
  <c r="J26" i="4"/>
  <c r="D18" i="4" a="1"/>
  <c r="D18" i="4" s="1"/>
  <c r="F18" i="4" a="1"/>
  <c r="F18" i="4" s="1"/>
  <c r="G18" i="4" s="1"/>
  <c r="D22" i="4" a="1"/>
  <c r="D22" i="4" s="1"/>
  <c r="D20" i="4" a="1"/>
  <c r="D20" i="4" s="1"/>
  <c r="D21" i="4" a="1"/>
  <c r="D21" i="4" s="1"/>
  <c r="F22" i="4" a="1"/>
  <c r="F22" i="4" s="1"/>
  <c r="G22" i="4" s="1"/>
  <c r="F20" i="4" a="1"/>
  <c r="F20" i="4" s="1"/>
  <c r="G20" i="4" s="1"/>
  <c r="A26" i="4"/>
  <c r="I26" i="4"/>
  <c r="B15" i="4" a="1"/>
  <c r="B15" i="4" s="1"/>
  <c r="H15" i="4" s="1"/>
  <c r="B22" i="3"/>
  <c r="B16" i="21" s="1" a="1"/>
  <c r="B16" i="21" s="1"/>
  <c r="H16" i="21" s="1"/>
  <c r="D16" i="4" a="1"/>
  <c r="D16" i="4" s="1"/>
  <c r="F16" i="4" a="1"/>
  <c r="F16" i="4" s="1"/>
  <c r="G16" i="4" s="1"/>
  <c r="B17" i="4" a="1"/>
  <c r="B17" i="4" s="1"/>
  <c r="H17" i="4" s="1"/>
  <c r="J12" i="4"/>
  <c r="H12" i="4" s="1"/>
  <c r="C11" i="4"/>
  <c r="J11" i="4"/>
  <c r="H11" i="4" s="1"/>
  <c r="F15" i="4" a="1"/>
  <c r="F15" i="4" s="1"/>
  <c r="G15" i="4" s="1"/>
  <c r="B24" i="4" a="1"/>
  <c r="B24" i="4" s="1"/>
  <c r="H24" i="4" s="1"/>
  <c r="B22" i="4" a="1"/>
  <c r="B22" i="4" s="1"/>
  <c r="H22" i="4" s="1"/>
  <c r="B20" i="4" a="1"/>
  <c r="B20" i="4" s="1"/>
  <c r="H20" i="4" s="1"/>
  <c r="B18" i="4" a="1"/>
  <c r="B18" i="4" s="1"/>
  <c r="H18" i="4" s="1"/>
  <c r="B16" i="4" a="1"/>
  <c r="B16" i="4" s="1"/>
  <c r="H16" i="4" s="1"/>
  <c r="A19" i="15" l="1"/>
  <c r="I27" i="12"/>
  <c r="J27" i="12" s="1"/>
  <c r="K27" i="12" s="1"/>
  <c r="A21" i="16"/>
  <c r="I21" i="16"/>
  <c r="J21" i="16" s="1"/>
  <c r="K21" i="16" s="1"/>
  <c r="I22" i="9"/>
  <c r="J22" i="9" s="1"/>
  <c r="K22" i="9" s="1"/>
  <c r="A22" i="9"/>
  <c r="B16" i="19" a="1"/>
  <c r="B16" i="19" s="1"/>
  <c r="I16" i="19" s="1"/>
  <c r="J16" i="19" s="1"/>
  <c r="K16" i="19" s="1"/>
  <c r="I21" i="8"/>
  <c r="J21" i="8" s="1"/>
  <c r="K21" i="8" s="1"/>
  <c r="I15" i="9"/>
  <c r="J15" i="9" s="1"/>
  <c r="K15" i="9" s="1"/>
  <c r="I20" i="21"/>
  <c r="J20" i="21" s="1"/>
  <c r="K20" i="21" s="1"/>
  <c r="A16" i="9"/>
  <c r="A19" i="9"/>
  <c r="A21" i="8"/>
  <c r="I21" i="9"/>
  <c r="J21" i="9" s="1"/>
  <c r="K21" i="9" s="1"/>
  <c r="A21" i="9"/>
  <c r="I17" i="17"/>
  <c r="J17" i="17" s="1"/>
  <c r="K17" i="17" s="1"/>
  <c r="I17" i="15"/>
  <c r="J17" i="15" s="1"/>
  <c r="K17" i="15" s="1"/>
  <c r="I18" i="21"/>
  <c r="J18" i="21" s="1"/>
  <c r="K18" i="21" s="1"/>
  <c r="A18" i="21"/>
  <c r="H21" i="11"/>
  <c r="I21" i="11" s="1"/>
  <c r="J21" i="11" s="1"/>
  <c r="K21" i="11" s="1"/>
  <c r="A19" i="4"/>
  <c r="A19" i="21"/>
  <c r="A23" i="12"/>
  <c r="I23" i="12"/>
  <c r="J23" i="12" s="1"/>
  <c r="K23" i="12" s="1"/>
  <c r="A20" i="7"/>
  <c r="H20" i="7"/>
  <c r="I20" i="7" s="1"/>
  <c r="J20" i="7" s="1"/>
  <c r="K20" i="7" s="1"/>
  <c r="A20" i="8"/>
  <c r="H20" i="8"/>
  <c r="I20" i="8" s="1"/>
  <c r="J20" i="8" s="1"/>
  <c r="K20" i="8" s="1"/>
  <c r="I18" i="15"/>
  <c r="J18" i="15" s="1"/>
  <c r="K18" i="15" s="1"/>
  <c r="I16" i="21"/>
  <c r="J16" i="21" s="1"/>
  <c r="K16" i="21" s="1"/>
  <c r="I21" i="12"/>
  <c r="J21" i="12" s="1"/>
  <c r="K21" i="12" s="1"/>
  <c r="A21" i="12"/>
  <c r="I20" i="9"/>
  <c r="J20" i="9" s="1"/>
  <c r="K20" i="9" s="1"/>
  <c r="A20" i="9"/>
  <c r="H24" i="12"/>
  <c r="I24" i="12" s="1"/>
  <c r="J24" i="12" s="1"/>
  <c r="K24" i="12" s="1"/>
  <c r="A24" i="12"/>
  <c r="A17" i="19"/>
  <c r="A18" i="17"/>
  <c r="I18" i="19"/>
  <c r="J18" i="19" s="1"/>
  <c r="K18" i="19" s="1"/>
  <c r="H22" i="11"/>
  <c r="I22" i="11" s="1"/>
  <c r="J22" i="11" s="1"/>
  <c r="K22" i="11" s="1"/>
  <c r="A22" i="11"/>
  <c r="A16" i="15"/>
  <c r="A16" i="19"/>
  <c r="I17" i="19"/>
  <c r="J17" i="19" s="1"/>
  <c r="K17" i="19" s="1"/>
  <c r="I19" i="19"/>
  <c r="J19" i="19" s="1"/>
  <c r="K19" i="19" s="1"/>
  <c r="A16" i="21"/>
  <c r="I19" i="21"/>
  <c r="J19" i="21" s="1"/>
  <c r="K19" i="21" s="1"/>
  <c r="I18" i="13"/>
  <c r="J18" i="13" s="1"/>
  <c r="K18" i="13" s="1"/>
  <c r="A15" i="17"/>
  <c r="B2" i="5"/>
  <c r="A161" i="25"/>
  <c r="A18" i="15"/>
  <c r="A17" i="15"/>
  <c r="I16" i="15"/>
  <c r="J16" i="15" s="1"/>
  <c r="K16" i="15" s="1"/>
  <c r="I20" i="6"/>
  <c r="J20" i="6" s="1"/>
  <c r="K20" i="6" s="1"/>
  <c r="G28" i="22"/>
  <c r="K30" i="22" s="1"/>
  <c r="G28" i="24"/>
  <c r="K30" i="24" s="1"/>
  <c r="A17" i="21"/>
  <c r="I15" i="19"/>
  <c r="J15" i="19" s="1"/>
  <c r="K15" i="19" s="1"/>
  <c r="I16" i="11"/>
  <c r="J16" i="11" s="1"/>
  <c r="K16" i="11" s="1"/>
  <c r="A16" i="11"/>
  <c r="A18" i="11"/>
  <c r="A19" i="17"/>
  <c r="I18" i="17"/>
  <c r="J18" i="17" s="1"/>
  <c r="K18" i="17" s="1"/>
  <c r="A19" i="19"/>
  <c r="I19" i="6"/>
  <c r="J19" i="6" s="1"/>
  <c r="K19" i="6" s="1"/>
  <c r="A20" i="6"/>
  <c r="A19" i="6"/>
  <c r="A18" i="13"/>
  <c r="I15" i="11"/>
  <c r="J15" i="11" s="1"/>
  <c r="K15" i="11" s="1"/>
  <c r="I19" i="13"/>
  <c r="J19" i="13" s="1"/>
  <c r="K19" i="13" s="1"/>
  <c r="A16" i="13"/>
  <c r="I19" i="11"/>
  <c r="J19" i="11" s="1"/>
  <c r="K19" i="11" s="1"/>
  <c r="I15" i="13"/>
  <c r="J15" i="13" s="1"/>
  <c r="K15" i="13" s="1"/>
  <c r="I15" i="15"/>
  <c r="J15" i="15" s="1"/>
  <c r="K15" i="15" s="1"/>
  <c r="A18" i="19"/>
  <c r="A15" i="21"/>
  <c r="G28" i="21"/>
  <c r="K30" i="21" s="1"/>
  <c r="I17" i="21"/>
  <c r="J17" i="21" s="1"/>
  <c r="K17" i="21" s="1"/>
  <c r="G28" i="15"/>
  <c r="K30" i="15" s="1"/>
  <c r="B16" i="17" a="1"/>
  <c r="B16" i="17" s="1"/>
  <c r="B17" i="11" a="1"/>
  <c r="B17" i="11" s="1"/>
  <c r="B17" i="18" a="1"/>
  <c r="B17" i="18" s="1"/>
  <c r="H17" i="18" s="1"/>
  <c r="B17" i="14" a="1"/>
  <c r="B17" i="14" s="1"/>
  <c r="H17" i="14" s="1"/>
  <c r="B17" i="13" a="1"/>
  <c r="B17" i="13" s="1"/>
  <c r="B17" i="12" a="1"/>
  <c r="B17" i="12" s="1"/>
  <c r="B18" i="8" a="1"/>
  <c r="B18" i="8" s="1"/>
  <c r="H18" i="8" s="1"/>
  <c r="A21" i="4"/>
  <c r="H21" i="4"/>
  <c r="I21" i="4" s="1"/>
  <c r="J21" i="4" s="1"/>
  <c r="K21" i="4" s="1"/>
  <c r="A18" i="6"/>
  <c r="H18" i="6"/>
  <c r="I18" i="6" s="1"/>
  <c r="J18" i="6" s="1"/>
  <c r="K18" i="6" s="1"/>
  <c r="A16" i="6"/>
  <c r="H16" i="6"/>
  <c r="I16" i="6" s="1"/>
  <c r="J16" i="6" s="1"/>
  <c r="K16" i="6" s="1"/>
  <c r="H20" i="22"/>
  <c r="I20" i="22" s="1"/>
  <c r="J20" i="22" s="1"/>
  <c r="K20" i="22" s="1"/>
  <c r="A20" i="22"/>
  <c r="H20" i="16"/>
  <c r="I20" i="16" s="1"/>
  <c r="J20" i="16" s="1"/>
  <c r="K20" i="16" s="1"/>
  <c r="A20" i="16"/>
  <c r="I20" i="19"/>
  <c r="J20" i="19" s="1"/>
  <c r="K20" i="19" s="1"/>
  <c r="A20" i="19"/>
  <c r="I20" i="12"/>
  <c r="J20" i="12" s="1"/>
  <c r="K20" i="12" s="1"/>
  <c r="A20" i="12"/>
  <c r="H20" i="11"/>
  <c r="I20" i="11" s="1"/>
  <c r="J20" i="11" s="1"/>
  <c r="K20" i="11" s="1"/>
  <c r="A20" i="11"/>
  <c r="H20" i="14"/>
  <c r="I20" i="14" s="1"/>
  <c r="J20" i="14" s="1"/>
  <c r="K20" i="14" s="1"/>
  <c r="A20" i="14"/>
  <c r="A17" i="6"/>
  <c r="H17" i="6"/>
  <c r="I17" i="6" s="1"/>
  <c r="J17" i="6" s="1"/>
  <c r="K17" i="6" s="1"/>
  <c r="A15" i="6"/>
  <c r="H15" i="6"/>
  <c r="I15" i="6" s="1"/>
  <c r="G28" i="16"/>
  <c r="K30" i="16" s="1"/>
  <c r="H20" i="17"/>
  <c r="I20" i="17" s="1"/>
  <c r="J20" i="17" s="1"/>
  <c r="K20" i="17" s="1"/>
  <c r="A20" i="17"/>
  <c r="H20" i="20"/>
  <c r="I20" i="20" s="1"/>
  <c r="J20" i="20" s="1"/>
  <c r="K20" i="20" s="1"/>
  <c r="A20" i="20"/>
  <c r="H20" i="13"/>
  <c r="I20" i="13" s="1"/>
  <c r="J20" i="13" s="1"/>
  <c r="K20" i="13" s="1"/>
  <c r="A20" i="13"/>
  <c r="H21" i="17"/>
  <c r="A21" i="17"/>
  <c r="I21" i="17"/>
  <c r="J21" i="17" s="1"/>
  <c r="K21" i="17" s="1"/>
  <c r="G28" i="13"/>
  <c r="K30" i="13" s="1"/>
  <c r="G28" i="14"/>
  <c r="K30" i="14" s="1"/>
  <c r="I15" i="21"/>
  <c r="J15" i="21" s="1"/>
  <c r="K15" i="21" s="1"/>
  <c r="I15" i="24"/>
  <c r="J15" i="24" s="1"/>
  <c r="K15" i="24" s="1"/>
  <c r="A15" i="24"/>
  <c r="I17" i="24"/>
  <c r="A17" i="24"/>
  <c r="J17" i="24"/>
  <c r="K17" i="24" s="1"/>
  <c r="I19" i="24"/>
  <c r="A19" i="24"/>
  <c r="J19" i="24"/>
  <c r="K19" i="24" s="1"/>
  <c r="I18" i="24"/>
  <c r="J18" i="24" s="1"/>
  <c r="K18" i="24" s="1"/>
  <c r="A18" i="24"/>
  <c r="I16" i="24"/>
  <c r="J16" i="24" s="1"/>
  <c r="K16" i="24" s="1"/>
  <c r="A16" i="24"/>
  <c r="J19" i="15"/>
  <c r="K19" i="15" s="1"/>
  <c r="A17" i="17"/>
  <c r="I19" i="17"/>
  <c r="J19" i="17" s="1"/>
  <c r="K19" i="17" s="1"/>
  <c r="I16" i="13"/>
  <c r="J16" i="13" s="1"/>
  <c r="K16" i="13" s="1"/>
  <c r="I15" i="22"/>
  <c r="J15" i="22" s="1"/>
  <c r="K15" i="22" s="1"/>
  <c r="A15" i="22"/>
  <c r="I17" i="22"/>
  <c r="A17" i="22"/>
  <c r="J17" i="22"/>
  <c r="K17" i="22" s="1"/>
  <c r="I19" i="22"/>
  <c r="A19" i="22"/>
  <c r="J19" i="22"/>
  <c r="K19" i="22" s="1"/>
  <c r="I18" i="22"/>
  <c r="J18" i="22" s="1"/>
  <c r="K18" i="22" s="1"/>
  <c r="A18" i="22"/>
  <c r="I16" i="22"/>
  <c r="J16" i="22" s="1"/>
  <c r="K16" i="22" s="1"/>
  <c r="A16" i="22"/>
  <c r="A19" i="11"/>
  <c r="A19" i="13"/>
  <c r="I15" i="17"/>
  <c r="J15" i="17" s="1"/>
  <c r="K15" i="17" s="1"/>
  <c r="I15" i="20"/>
  <c r="J15" i="20" s="1"/>
  <c r="K15" i="20" s="1"/>
  <c r="A15" i="20"/>
  <c r="I17" i="20"/>
  <c r="J17" i="20" s="1"/>
  <c r="K17" i="20" s="1"/>
  <c r="A17" i="20"/>
  <c r="I19" i="20"/>
  <c r="J19" i="20" s="1"/>
  <c r="K19" i="20" s="1"/>
  <c r="A19" i="20"/>
  <c r="I16" i="20"/>
  <c r="J16" i="20" s="1"/>
  <c r="K16" i="20" s="1"/>
  <c r="A16" i="20"/>
  <c r="G28" i="20"/>
  <c r="I18" i="20"/>
  <c r="J18" i="20" s="1"/>
  <c r="K18" i="20" s="1"/>
  <c r="A18" i="20"/>
  <c r="A15" i="13"/>
  <c r="A15" i="15"/>
  <c r="G28" i="19"/>
  <c r="K30" i="19" s="1"/>
  <c r="I19" i="9"/>
  <c r="J19" i="9" s="1"/>
  <c r="K19" i="9" s="1"/>
  <c r="I15" i="18"/>
  <c r="J15" i="18" s="1"/>
  <c r="K15" i="18" s="1"/>
  <c r="A15" i="18"/>
  <c r="I19" i="18"/>
  <c r="A19" i="18"/>
  <c r="J19" i="18"/>
  <c r="K19" i="18" s="1"/>
  <c r="I16" i="18"/>
  <c r="J16" i="18" s="1"/>
  <c r="K16" i="18" s="1"/>
  <c r="A16" i="18"/>
  <c r="G28" i="18"/>
  <c r="I18" i="18"/>
  <c r="J18" i="18" s="1"/>
  <c r="K18" i="18" s="1"/>
  <c r="A18" i="18"/>
  <c r="G28" i="17"/>
  <c r="K30" i="17" s="1"/>
  <c r="I17" i="9"/>
  <c r="J17" i="9" s="1"/>
  <c r="K17" i="9" s="1"/>
  <c r="I16" i="9"/>
  <c r="J16" i="9" s="1"/>
  <c r="K16" i="9" s="1"/>
  <c r="A15" i="11"/>
  <c r="I18" i="11"/>
  <c r="J18" i="11" s="1"/>
  <c r="K18" i="11" s="1"/>
  <c r="I15" i="16"/>
  <c r="J15" i="16" s="1"/>
  <c r="K15" i="16" s="1"/>
  <c r="A15" i="16"/>
  <c r="I17" i="16"/>
  <c r="J17" i="16" s="1"/>
  <c r="K17" i="16" s="1"/>
  <c r="A17" i="16"/>
  <c r="I19" i="16"/>
  <c r="J19" i="16" s="1"/>
  <c r="K19" i="16" s="1"/>
  <c r="A19" i="16"/>
  <c r="I18" i="16"/>
  <c r="J18" i="16" s="1"/>
  <c r="K18" i="16" s="1"/>
  <c r="A18" i="16"/>
  <c r="I16" i="16"/>
  <c r="J16" i="16" s="1"/>
  <c r="K16" i="16" s="1"/>
  <c r="A16" i="16"/>
  <c r="I15" i="14"/>
  <c r="J15" i="14" s="1"/>
  <c r="K15" i="14" s="1"/>
  <c r="A15" i="14"/>
  <c r="I19" i="14"/>
  <c r="J19" i="14" s="1"/>
  <c r="K19" i="14" s="1"/>
  <c r="A19" i="14"/>
  <c r="I18" i="14"/>
  <c r="J18" i="14" s="1"/>
  <c r="K18" i="14" s="1"/>
  <c r="A18" i="14"/>
  <c r="I16" i="14"/>
  <c r="J16" i="14" s="1"/>
  <c r="K16" i="14" s="1"/>
  <c r="A16" i="14"/>
  <c r="G28" i="11"/>
  <c r="K30" i="11" s="1"/>
  <c r="A15" i="9"/>
  <c r="I15" i="12"/>
  <c r="J15" i="12" s="1"/>
  <c r="K15" i="12" s="1"/>
  <c r="A15" i="12"/>
  <c r="I19" i="12"/>
  <c r="J19" i="12" s="1"/>
  <c r="K19" i="12" s="1"/>
  <c r="A19" i="12"/>
  <c r="I16" i="12"/>
  <c r="J16" i="12" s="1"/>
  <c r="K16" i="12" s="1"/>
  <c r="A16" i="12"/>
  <c r="G28" i="12"/>
  <c r="I18" i="12"/>
  <c r="J18" i="12" s="1"/>
  <c r="K18" i="12" s="1"/>
  <c r="A18" i="12"/>
  <c r="G28" i="8"/>
  <c r="K30" i="8" s="1"/>
  <c r="G28" i="9"/>
  <c r="K30" i="9" s="1"/>
  <c r="A19" i="7"/>
  <c r="I19" i="7"/>
  <c r="J19" i="7" s="1"/>
  <c r="K19" i="7" s="1"/>
  <c r="I15" i="8"/>
  <c r="J15" i="8" s="1"/>
  <c r="K15" i="8" s="1"/>
  <c r="A15" i="8"/>
  <c r="I17" i="8"/>
  <c r="J17" i="8" s="1"/>
  <c r="K17" i="8" s="1"/>
  <c r="A17" i="8"/>
  <c r="I19" i="8"/>
  <c r="J19" i="8" s="1"/>
  <c r="K19" i="8" s="1"/>
  <c r="A19" i="8"/>
  <c r="I16" i="8"/>
  <c r="J16" i="8" s="1"/>
  <c r="K16" i="8" s="1"/>
  <c r="A16" i="8"/>
  <c r="I17" i="7"/>
  <c r="J17" i="7" s="1"/>
  <c r="K17" i="7" s="1"/>
  <c r="A17" i="7"/>
  <c r="I18" i="7"/>
  <c r="J18" i="7" s="1"/>
  <c r="K18" i="7" s="1"/>
  <c r="A18" i="7"/>
  <c r="G28" i="7"/>
  <c r="I16" i="7"/>
  <c r="J16" i="7" s="1"/>
  <c r="K16" i="7" s="1"/>
  <c r="A16" i="7"/>
  <c r="I15" i="7"/>
  <c r="A15" i="7"/>
  <c r="G28" i="6"/>
  <c r="K30" i="6" s="1"/>
  <c r="I21" i="6"/>
  <c r="J21" i="6" s="1"/>
  <c r="K21" i="6" s="1"/>
  <c r="A21" i="6"/>
  <c r="I20" i="4"/>
  <c r="J20" i="4" s="1"/>
  <c r="K20" i="4" s="1"/>
  <c r="A20" i="4"/>
  <c r="I24" i="4"/>
  <c r="A24" i="4"/>
  <c r="J24" i="4"/>
  <c r="K24" i="4" s="1"/>
  <c r="I19" i="4"/>
  <c r="J19" i="4" s="1"/>
  <c r="K19" i="4" s="1"/>
  <c r="I16" i="4"/>
  <c r="J16" i="4" s="1"/>
  <c r="K16" i="4" s="1"/>
  <c r="A16" i="4"/>
  <c r="I18" i="4"/>
  <c r="J18" i="4" s="1"/>
  <c r="K18" i="4" s="1"/>
  <c r="A18" i="4"/>
  <c r="I22" i="4"/>
  <c r="J22" i="4" s="1"/>
  <c r="K22" i="4" s="1"/>
  <c r="A22" i="4"/>
  <c r="I17" i="4"/>
  <c r="J17" i="4" s="1"/>
  <c r="K17" i="4" s="1"/>
  <c r="A17" i="4"/>
  <c r="I15" i="4"/>
  <c r="J15" i="4" s="1"/>
  <c r="K15" i="4" s="1"/>
  <c r="A15" i="4"/>
  <c r="G28" i="4"/>
  <c r="K30" i="4" s="1"/>
  <c r="I17" i="18" l="1"/>
  <c r="J17" i="18" s="1"/>
  <c r="K17" i="18" s="1"/>
  <c r="I17" i="14"/>
  <c r="J17" i="14" s="1"/>
  <c r="K17" i="14" s="1"/>
  <c r="I28" i="15"/>
  <c r="K31" i="15" s="1"/>
  <c r="A17" i="12"/>
  <c r="A17" i="18"/>
  <c r="I28" i="19"/>
  <c r="K31" i="19" s="1"/>
  <c r="A17" i="14"/>
  <c r="I17" i="12"/>
  <c r="I28" i="12" s="1"/>
  <c r="K31" i="12" s="1"/>
  <c r="A18" i="8"/>
  <c r="I18" i="8"/>
  <c r="J18" i="8" s="1"/>
  <c r="K18" i="8" s="1"/>
  <c r="H17" i="11"/>
  <c r="I17" i="11" s="1"/>
  <c r="J17" i="11" s="1"/>
  <c r="K17" i="11" s="1"/>
  <c r="A17" i="11"/>
  <c r="H17" i="13"/>
  <c r="I17" i="13" s="1"/>
  <c r="J17" i="13" s="1"/>
  <c r="K17" i="13" s="1"/>
  <c r="A17" i="13"/>
  <c r="H16" i="17"/>
  <c r="I16" i="17" s="1"/>
  <c r="J16" i="17" s="1"/>
  <c r="K16" i="17" s="1"/>
  <c r="A16" i="17"/>
  <c r="I28" i="21"/>
  <c r="I28" i="24"/>
  <c r="I28" i="9"/>
  <c r="K31" i="9" s="1"/>
  <c r="I28" i="22"/>
  <c r="K30" i="20"/>
  <c r="I28" i="20"/>
  <c r="K31" i="20" s="1"/>
  <c r="K30" i="18"/>
  <c r="I28" i="16"/>
  <c r="K30" i="12"/>
  <c r="I28" i="7"/>
  <c r="K31" i="7" s="1"/>
  <c r="J15" i="7"/>
  <c r="K15" i="7" s="1"/>
  <c r="K30" i="7"/>
  <c r="I28" i="6"/>
  <c r="K31" i="6" s="1"/>
  <c r="J15" i="6"/>
  <c r="K15" i="6" s="1"/>
  <c r="E28" i="4"/>
  <c r="I28" i="18" l="1"/>
  <c r="K31" i="18" s="1"/>
  <c r="I28" i="14"/>
  <c r="K31" i="14" s="1"/>
  <c r="I28" i="17"/>
  <c r="K31" i="17" s="1"/>
  <c r="J28" i="15"/>
  <c r="K32" i="15" s="1"/>
  <c r="J17" i="12"/>
  <c r="K17" i="12" s="1"/>
  <c r="J28" i="19"/>
  <c r="K28" i="19" s="1"/>
  <c r="K33" i="19" s="1"/>
  <c r="I28" i="8"/>
  <c r="K31" i="8" s="1"/>
  <c r="I28" i="11"/>
  <c r="K31" i="11" s="1"/>
  <c r="I28" i="13"/>
  <c r="K31" i="13" s="1"/>
  <c r="K31" i="21"/>
  <c r="J28" i="21"/>
  <c r="J28" i="9"/>
  <c r="K28" i="9" s="1"/>
  <c r="K33" i="9" s="1"/>
  <c r="K31" i="24"/>
  <c r="J28" i="24"/>
  <c r="J28" i="20"/>
  <c r="K28" i="20" s="1"/>
  <c r="K33" i="20" s="1"/>
  <c r="K31" i="22"/>
  <c r="J28" i="22"/>
  <c r="K31" i="16"/>
  <c r="J28" i="16"/>
  <c r="J28" i="12"/>
  <c r="J28" i="7"/>
  <c r="K32" i="7" s="1"/>
  <c r="J28" i="6"/>
  <c r="K32" i="6" s="1"/>
  <c r="F3" i="5" s="1"/>
  <c r="I28" i="4"/>
  <c r="K31" i="4" s="1"/>
  <c r="J28" i="18" l="1"/>
  <c r="K28" i="18" s="1"/>
  <c r="K33" i="18" s="1"/>
  <c r="J28" i="14"/>
  <c r="K28" i="14" s="1"/>
  <c r="K33" i="14" s="1"/>
  <c r="K32" i="19"/>
  <c r="K34" i="19" s="1"/>
  <c r="H15" i="5" s="1"/>
  <c r="E15" i="26" s="1"/>
  <c r="J28" i="17"/>
  <c r="K28" i="17" s="1"/>
  <c r="K33" i="17" s="1"/>
  <c r="K28" i="15"/>
  <c r="K33" i="15" s="1"/>
  <c r="K34" i="15" s="1"/>
  <c r="H11" i="5" s="1"/>
  <c r="E11" i="26" s="1"/>
  <c r="D11" i="26" s="1"/>
  <c r="J28" i="11"/>
  <c r="K28" i="11" s="1"/>
  <c r="K33" i="11" s="1"/>
  <c r="J28" i="13"/>
  <c r="K32" i="13" s="1"/>
  <c r="J28" i="8"/>
  <c r="K32" i="8" s="1"/>
  <c r="K32" i="21"/>
  <c r="K28" i="21"/>
  <c r="K33" i="21" s="1"/>
  <c r="K32" i="20"/>
  <c r="K34" i="20" s="1"/>
  <c r="H16" i="5" s="1"/>
  <c r="E16" i="26" s="1"/>
  <c r="K32" i="9"/>
  <c r="K32" i="24"/>
  <c r="K28" i="24"/>
  <c r="K33" i="24" s="1"/>
  <c r="K32" i="22"/>
  <c r="K28" i="22"/>
  <c r="K33" i="22" s="1"/>
  <c r="K32" i="16"/>
  <c r="K28" i="16"/>
  <c r="K33" i="16" s="1"/>
  <c r="K32" i="12"/>
  <c r="K28" i="12"/>
  <c r="K33" i="12" s="1"/>
  <c r="K28" i="7"/>
  <c r="K33" i="7" s="1"/>
  <c r="K34" i="7" s="1"/>
  <c r="H4" i="5" s="1"/>
  <c r="E4" i="26" s="1"/>
  <c r="D4" i="26" s="1"/>
  <c r="K28" i="6"/>
  <c r="K33" i="6" s="1"/>
  <c r="J28" i="4"/>
  <c r="K32" i="14" l="1"/>
  <c r="K32" i="18"/>
  <c r="K34" i="18" s="1"/>
  <c r="H14" i="5" s="1"/>
  <c r="E14" i="26" s="1"/>
  <c r="D14" i="26" s="1"/>
  <c r="K28" i="13"/>
  <c r="K33" i="13" s="1"/>
  <c r="K34" i="13" s="1"/>
  <c r="H9" i="5" s="1"/>
  <c r="E9" i="26" s="1"/>
  <c r="D9" i="26" s="1"/>
  <c r="K32" i="17"/>
  <c r="K34" i="17" s="1"/>
  <c r="H13" i="5" s="1"/>
  <c r="E13" i="26" s="1"/>
  <c r="D13" i="26" s="1"/>
  <c r="C11" i="5"/>
  <c r="F11" i="5"/>
  <c r="G11" i="5"/>
  <c r="B11" i="5"/>
  <c r="K32" i="11"/>
  <c r="K34" i="11" s="1"/>
  <c r="H7" i="5" s="1"/>
  <c r="E7" i="26" s="1"/>
  <c r="D7" i="26" s="1"/>
  <c r="B15" i="5"/>
  <c r="G15" i="5"/>
  <c r="C15" i="5"/>
  <c r="F15" i="5"/>
  <c r="D16" i="26"/>
  <c r="K28" i="8"/>
  <c r="K33" i="8" s="1"/>
  <c r="K34" i="8" s="1"/>
  <c r="H5" i="5" s="1"/>
  <c r="E5" i="26" s="1"/>
  <c r="D5" i="26" s="1"/>
  <c r="B4" i="5"/>
  <c r="C4" i="5"/>
  <c r="F4" i="5"/>
  <c r="G4" i="5"/>
  <c r="B16" i="5"/>
  <c r="F16" i="5"/>
  <c r="C16" i="5"/>
  <c r="G16" i="5"/>
  <c r="K34" i="9"/>
  <c r="H6" i="5" s="1"/>
  <c r="E6" i="26" s="1"/>
  <c r="D6" i="26" s="1"/>
  <c r="K34" i="21"/>
  <c r="H17" i="5" s="1"/>
  <c r="E17" i="26" s="1"/>
  <c r="K34" i="24"/>
  <c r="H20" i="5" s="1"/>
  <c r="E20" i="26" s="1"/>
  <c r="K34" i="22"/>
  <c r="H18" i="5" s="1"/>
  <c r="E18" i="26" s="1"/>
  <c r="K34" i="16"/>
  <c r="H12" i="5" s="1"/>
  <c r="E12" i="26" s="1"/>
  <c r="K34" i="14"/>
  <c r="H10" i="5" s="1"/>
  <c r="E10" i="26" s="1"/>
  <c r="K34" i="12"/>
  <c r="H8" i="5" s="1"/>
  <c r="K34" i="6"/>
  <c r="H3" i="5" s="1"/>
  <c r="E3" i="26" s="1"/>
  <c r="D3" i="26" s="1"/>
  <c r="K28" i="4"/>
  <c r="K33" i="4" s="1"/>
  <c r="K32" i="4"/>
  <c r="B14" i="5" l="1"/>
  <c r="G14" i="5"/>
  <c r="F14" i="5"/>
  <c r="C14" i="5"/>
  <c r="G13" i="5"/>
  <c r="B7" i="5"/>
  <c r="B13" i="5"/>
  <c r="C13" i="5"/>
  <c r="F13" i="5"/>
  <c r="F7" i="5"/>
  <c r="G7" i="5"/>
  <c r="C7" i="5"/>
  <c r="D18" i="26"/>
  <c r="D20" i="26"/>
  <c r="D12" i="26"/>
  <c r="D10" i="26"/>
  <c r="E8" i="26"/>
  <c r="G3" i="5"/>
  <c r="D3" i="5"/>
  <c r="J2" i="6" s="1"/>
  <c r="E3" i="5"/>
  <c r="J1" i="6" s="1"/>
  <c r="B3" i="5"/>
  <c r="C3" i="5"/>
  <c r="B20" i="5"/>
  <c r="F20" i="5"/>
  <c r="C20" i="5"/>
  <c r="G20" i="5"/>
  <c r="B18" i="5"/>
  <c r="C18" i="5"/>
  <c r="G18" i="5"/>
  <c r="F18" i="5"/>
  <c r="F17" i="5"/>
  <c r="B17" i="5"/>
  <c r="C17" i="5"/>
  <c r="G17" i="5"/>
  <c r="B12" i="5"/>
  <c r="F12" i="5"/>
  <c r="C12" i="5"/>
  <c r="G12" i="5"/>
  <c r="B10" i="5"/>
  <c r="C10" i="5"/>
  <c r="G10" i="5"/>
  <c r="F10" i="5"/>
  <c r="B9" i="5"/>
  <c r="C9" i="5"/>
  <c r="G9" i="5"/>
  <c r="B8" i="5"/>
  <c r="C8" i="5"/>
  <c r="G8" i="5"/>
  <c r="F8" i="5"/>
  <c r="B6" i="5"/>
  <c r="C6" i="5"/>
  <c r="G6" i="5"/>
  <c r="F6" i="5"/>
  <c r="B5" i="5"/>
  <c r="C5" i="5"/>
  <c r="F5" i="5"/>
  <c r="G5" i="5"/>
  <c r="F9" i="5"/>
  <c r="F2" i="5"/>
  <c r="G2" i="5"/>
  <c r="K34" i="4"/>
  <c r="E4" i="5" l="1"/>
  <c r="C3" i="26"/>
  <c r="D4" i="5"/>
  <c r="D8" i="26"/>
  <c r="H2" i="5"/>
  <c r="E2" i="26" s="1"/>
  <c r="C2" i="26" s="1"/>
  <c r="E5" i="5" l="1"/>
  <c r="C5" i="26" s="1"/>
  <c r="J1" i="7"/>
  <c r="D5" i="5"/>
  <c r="D6" i="5" s="1"/>
  <c r="J2" i="7"/>
  <c r="E6" i="5"/>
  <c r="C4" i="26"/>
  <c r="D2" i="26"/>
  <c r="E7" i="5" l="1"/>
  <c r="E8" i="5" s="1"/>
  <c r="J1" i="12" s="1"/>
  <c r="J1" i="9"/>
  <c r="D7" i="5"/>
  <c r="J2" i="11" s="1"/>
  <c r="J2" i="9"/>
  <c r="C6" i="26"/>
  <c r="C7" i="26" l="1"/>
  <c r="J1" i="11"/>
  <c r="D8" i="5"/>
  <c r="J2" i="12" s="1"/>
  <c r="C8" i="26"/>
  <c r="E9" i="5"/>
  <c r="D9" i="5" l="1"/>
  <c r="C9" i="26"/>
  <c r="J1" i="13"/>
  <c r="D10" i="5"/>
  <c r="J2" i="14" s="1"/>
  <c r="J2" i="13"/>
  <c r="E10" i="5"/>
  <c r="C10" i="26" l="1"/>
  <c r="J1" i="14"/>
  <c r="D11" i="5"/>
  <c r="D12" i="5" s="1"/>
  <c r="J2" i="16" s="1"/>
  <c r="E11" i="5"/>
  <c r="C11" i="26" s="1"/>
  <c r="E12" i="5" l="1"/>
  <c r="D13" i="5"/>
  <c r="C12" i="26" l="1"/>
  <c r="J1" i="16"/>
  <c r="E13" i="5"/>
  <c r="C13" i="26" s="1"/>
  <c r="D14" i="5"/>
  <c r="J2" i="18" s="1"/>
  <c r="E14" i="5" l="1"/>
  <c r="D15" i="5"/>
  <c r="J2" i="19" s="1"/>
  <c r="C14" i="26" l="1"/>
  <c r="J1" i="18"/>
  <c r="E15" i="5"/>
  <c r="D16" i="5"/>
  <c r="C15" i="26" l="1"/>
  <c r="J1" i="19"/>
  <c r="E16" i="5"/>
  <c r="C16" i="26" s="1"/>
  <c r="D17" i="5"/>
  <c r="J2" i="20"/>
  <c r="J1" i="20" l="1"/>
  <c r="E17" i="5"/>
  <c r="C17" i="26" s="1"/>
  <c r="E18" i="5"/>
  <c r="C18" i="26" s="1"/>
  <c r="D18" i="5"/>
  <c r="J2" i="21"/>
  <c r="J1" i="21" l="1"/>
  <c r="J2" i="22"/>
  <c r="J1" i="22"/>
  <c r="E20" i="5" l="1"/>
  <c r="C20" i="26" s="1"/>
  <c r="D20" i="5"/>
  <c r="J2" i="24" l="1"/>
  <c r="J1" i="24"/>
  <c r="B16" i="23" a="1"/>
  <c r="B16" i="23" s="1"/>
  <c r="B19" i="23" a="1"/>
  <c r="B19" i="23" s="1"/>
  <c r="A19" i="23" s="1"/>
  <c r="B17" i="23" a="1"/>
  <c r="B17" i="23" s="1"/>
  <c r="B15" i="23" a="1"/>
  <c r="B15" i="23" s="1"/>
  <c r="E17" i="23" a="1"/>
  <c r="E17" i="23" s="1"/>
  <c r="G17" i="23" s="1"/>
  <c r="E19" i="23" a="1"/>
  <c r="E19" i="23" s="1"/>
  <c r="G19" i="23" s="1"/>
  <c r="B18" i="23" a="1"/>
  <c r="B18" i="23" s="1"/>
  <c r="E16" i="23" a="1"/>
  <c r="E16" i="23" s="1"/>
  <c r="G16" i="23" s="1"/>
  <c r="E18" i="23" a="1"/>
  <c r="E18" i="23" s="1"/>
  <c r="G18" i="23" s="1"/>
  <c r="B20" i="23" a="1"/>
  <c r="B20" i="23" s="1"/>
  <c r="I20" i="23" s="1"/>
  <c r="B23" i="23" a="1"/>
  <c r="B23" i="23" s="1"/>
  <c r="B22" i="23" a="1"/>
  <c r="B22" i="23" s="1"/>
  <c r="K22" i="23" s="1"/>
  <c r="B21" i="23" a="1"/>
  <c r="B21" i="23" s="1"/>
  <c r="B26" i="23" a="1"/>
  <c r="B26" i="23" s="1"/>
  <c r="A26" i="23" s="1"/>
  <c r="B24" i="23" a="1"/>
  <c r="B24" i="23" s="1"/>
  <c r="E21" i="23" a="1"/>
  <c r="E21" i="23" s="1"/>
  <c r="G21" i="23" s="1"/>
  <c r="E15" i="23" a="1"/>
  <c r="E15" i="23" s="1"/>
  <c r="G15" i="23" s="1"/>
  <c r="B25" i="23" a="1"/>
  <c r="B25" i="23" s="1"/>
  <c r="B27" i="23" a="1"/>
  <c r="B27" i="23" s="1"/>
  <c r="I27" i="23" s="1"/>
  <c r="F16" i="23" a="1"/>
  <c r="F16" i="23" s="1"/>
  <c r="F18" i="23" a="1"/>
  <c r="F18" i="23" s="1"/>
  <c r="D17" i="23" a="1"/>
  <c r="D17" i="23" s="1"/>
  <c r="F15" i="23" a="1"/>
  <c r="F15" i="23" s="1"/>
  <c r="D16" i="23" a="1"/>
  <c r="D16" i="23" s="1"/>
  <c r="D18" i="23" a="1"/>
  <c r="D18" i="23" s="1"/>
  <c r="F17" i="23" a="1"/>
  <c r="F17" i="23" s="1"/>
  <c r="F19" i="23" a="1"/>
  <c r="F19" i="23" s="1"/>
  <c r="D19" i="23" a="1"/>
  <c r="D19" i="23" s="1"/>
  <c r="D15" i="23" a="1"/>
  <c r="D15" i="23" s="1"/>
  <c r="E26" i="23" a="1"/>
  <c r="E26" i="23" s="1"/>
  <c r="G26" i="23" s="1"/>
  <c r="E24" i="23" a="1"/>
  <c r="E24" i="23" s="1"/>
  <c r="G24" i="23" s="1"/>
  <c r="E22" i="23" a="1"/>
  <c r="E22" i="23" s="1"/>
  <c r="G22" i="23" s="1"/>
  <c r="E20" i="23" a="1"/>
  <c r="E20" i="23" s="1"/>
  <c r="G20" i="23" s="1"/>
  <c r="D27" i="23" a="1"/>
  <c r="D27" i="23" s="1"/>
  <c r="D25" i="23" a="1"/>
  <c r="D25" i="23" s="1"/>
  <c r="D23" i="23" a="1"/>
  <c r="D23" i="23" s="1"/>
  <c r="D21" i="23" a="1"/>
  <c r="D21" i="23" s="1"/>
  <c r="F27" i="23" a="1"/>
  <c r="F27" i="23" s="1"/>
  <c r="F25" i="23" a="1"/>
  <c r="F25" i="23" s="1"/>
  <c r="F23" i="23" a="1"/>
  <c r="F23" i="23" s="1"/>
  <c r="F21" i="23" a="1"/>
  <c r="F21" i="23" s="1"/>
  <c r="E27" i="23" a="1"/>
  <c r="E27" i="23" s="1"/>
  <c r="G27" i="23" s="1"/>
  <c r="E25" i="23" a="1"/>
  <c r="E25" i="23" s="1"/>
  <c r="G25" i="23" s="1"/>
  <c r="E23" i="23" a="1"/>
  <c r="E23" i="23" s="1"/>
  <c r="G23" i="23" s="1"/>
  <c r="D26" i="23" a="1"/>
  <c r="D26" i="23" s="1"/>
  <c r="D24" i="23" a="1"/>
  <c r="D24" i="23" s="1"/>
  <c r="D22" i="23" a="1"/>
  <c r="D22" i="23" s="1"/>
  <c r="D20" i="23" a="1"/>
  <c r="D20" i="23" s="1"/>
  <c r="F26" i="23" a="1"/>
  <c r="F26" i="23" s="1"/>
  <c r="F24" i="23" a="1"/>
  <c r="F24" i="23" s="1"/>
  <c r="F22" i="23" a="1"/>
  <c r="F22" i="23" s="1"/>
  <c r="F20" i="23" a="1"/>
  <c r="F20" i="23" s="1"/>
  <c r="H19" i="23" l="1"/>
  <c r="H22" i="23"/>
  <c r="I22" i="23"/>
  <c r="A15" i="23"/>
  <c r="H15" i="23"/>
  <c r="J15" i="23"/>
  <c r="K26" i="23"/>
  <c r="J20" i="23"/>
  <c r="K19" i="23"/>
  <c r="H26" i="23"/>
  <c r="J26" i="23"/>
  <c r="A22" i="23"/>
  <c r="H20" i="23"/>
  <c r="A20" i="23"/>
  <c r="I19" i="23"/>
  <c r="A21" i="23"/>
  <c r="J21" i="23"/>
  <c r="I21" i="23"/>
  <c r="H21" i="23"/>
  <c r="K21" i="23"/>
  <c r="J18" i="23"/>
  <c r="K18" i="23"/>
  <c r="A18" i="23"/>
  <c r="H18" i="23"/>
  <c r="I18" i="23"/>
  <c r="A16" i="23"/>
  <c r="J16" i="23"/>
  <c r="I16" i="23"/>
  <c r="H16" i="23"/>
  <c r="K16" i="23"/>
  <c r="A25" i="23"/>
  <c r="K25" i="23"/>
  <c r="J25" i="23"/>
  <c r="H25" i="23"/>
  <c r="I25" i="23"/>
  <c r="K24" i="23"/>
  <c r="I24" i="23"/>
  <c r="J24" i="23"/>
  <c r="H24" i="23"/>
  <c r="A24" i="23"/>
  <c r="A23" i="23"/>
  <c r="K23" i="23"/>
  <c r="I23" i="23"/>
  <c r="H23" i="23"/>
  <c r="J23" i="23"/>
  <c r="K17" i="23"/>
  <c r="J17" i="23"/>
  <c r="A17" i="23"/>
  <c r="H17" i="23"/>
  <c r="I17" i="23"/>
  <c r="K27" i="23"/>
  <c r="G28" i="23"/>
  <c r="H27" i="23"/>
  <c r="J27" i="23"/>
  <c r="A27" i="23"/>
  <c r="E28" i="23"/>
  <c r="I26" i="23"/>
  <c r="J22" i="23"/>
  <c r="K20" i="23"/>
  <c r="J19" i="23"/>
  <c r="I15" i="23"/>
  <c r="K15" i="23"/>
  <c r="I28" i="23" l="1"/>
  <c r="K31" i="23" s="1"/>
  <c r="K30" i="23"/>
  <c r="J28" i="23" l="1"/>
  <c r="K32" i="23" s="1"/>
  <c r="K28" i="23" l="1"/>
  <c r="K33" i="23" s="1"/>
  <c r="K34" i="23" s="1"/>
  <c r="H19" i="5" s="1"/>
  <c r="E19" i="5" l="1"/>
  <c r="J1" i="23" s="1"/>
  <c r="D19" i="5"/>
  <c r="J2" i="23" s="1"/>
  <c r="B19" i="5"/>
  <c r="E19" i="26"/>
  <c r="G19" i="5"/>
  <c r="C19" i="5"/>
  <c r="F19" i="5"/>
  <c r="C19" i="26" l="1"/>
  <c r="D19" i="26"/>
</calcChain>
</file>

<file path=xl/sharedStrings.xml><?xml version="1.0" encoding="utf-8"?>
<sst xmlns="http://schemas.openxmlformats.org/spreadsheetml/2006/main" count="2991" uniqueCount="311">
  <si>
    <t>Mjesto isporuke</t>
  </si>
  <si>
    <t>kupac</t>
  </si>
  <si>
    <t>grad I Zip</t>
  </si>
  <si>
    <t xml:space="preserve">PDV </t>
  </si>
  <si>
    <t xml:space="preserve">ID </t>
  </si>
  <si>
    <t>rabat</t>
  </si>
  <si>
    <t xml:space="preserve">valuta </t>
  </si>
  <si>
    <t>sjediste</t>
  </si>
  <si>
    <t>Ul. Ložionička 16, podr. 47 - prod 67</t>
  </si>
  <si>
    <t>"Mercator BH" Trgovina na veliko i malo d.o.o. Sarajevo</t>
  </si>
  <si>
    <t>Sarajevo, 71000</t>
  </si>
  <si>
    <t>200841110009</t>
  </si>
  <si>
    <t>4200841110009</t>
  </si>
  <si>
    <t>30 dana</t>
  </si>
  <si>
    <t>Sarajevo</t>
  </si>
  <si>
    <t>Bulevar Mimar Sinana 1, Dobrinja, podr. 49 -prod 69</t>
  </si>
  <si>
    <t>Prod br. 219 ALTA</t>
  </si>
  <si>
    <t>BINGO d.o.o. Tuzla</t>
  </si>
  <si>
    <t>Tuzla, 75000</t>
  </si>
  <si>
    <t>Tuzla</t>
  </si>
  <si>
    <t>Hipermarket Kolodvorska PJ 143, Sarajevo 71000</t>
  </si>
  <si>
    <t>Hipermarket Bare PJ 162, Sarajevo 71000</t>
  </si>
  <si>
    <t>Druga kuca, Kolodvorska 9</t>
  </si>
  <si>
    <t>Druga Kuća  d.o.o.</t>
  </si>
  <si>
    <t>201691410005</t>
  </si>
  <si>
    <t>4201691410005</t>
  </si>
  <si>
    <t>7 dana</t>
  </si>
  <si>
    <t>Hotel Bristol, Fra Filipa Lastrića 2</t>
  </si>
  <si>
    <t>Grand Hotel Bristol d.o.o.</t>
  </si>
  <si>
    <t>200580720009</t>
  </si>
  <si>
    <t>4200580720009</t>
  </si>
  <si>
    <t>Coloseum, Sarajevo</t>
  </si>
  <si>
    <t xml:space="preserve">"Hit Coloseum" Društvo sa ograničenom odgovornošću            </t>
  </si>
  <si>
    <t>200606110000</t>
  </si>
  <si>
    <t>4200606110000</t>
  </si>
  <si>
    <t>Swisotel, Vrbanja br 1.</t>
  </si>
  <si>
    <t>Magros - Veletrgovina d.d.</t>
  </si>
  <si>
    <t>200165310075</t>
  </si>
  <si>
    <t>4200165310075</t>
  </si>
  <si>
    <t>4SGS , Čekaluša 61</t>
  </si>
  <si>
    <t>UR "4Sobe Gospođe Safije"</t>
  </si>
  <si>
    <t>Podružnica Beehive pub , Vladimira Skarića 4</t>
  </si>
  <si>
    <t>Casa del Caffe d.o.o.</t>
  </si>
  <si>
    <t>201840350037</t>
  </si>
  <si>
    <t>4201840350037</t>
  </si>
  <si>
    <t>Vinoteka, Skenderija 12</t>
  </si>
  <si>
    <t>UR "VINOTEKA"</t>
  </si>
  <si>
    <t>302902320009</t>
  </si>
  <si>
    <t>4302902320009</t>
  </si>
  <si>
    <t xml:space="preserve">Club Aparthotel Vucko </t>
  </si>
  <si>
    <t>Vučko, Olimpijska 1</t>
  </si>
  <si>
    <t>Pale, 71420</t>
  </si>
  <si>
    <t>*</t>
  </si>
  <si>
    <t>403052460001</t>
  </si>
  <si>
    <t>Pole</t>
  </si>
  <si>
    <t>Zelenara, Svetosavska 19</t>
  </si>
  <si>
    <t>Zelenara trgovinska radnja</t>
  </si>
  <si>
    <t>I.Sarajevo 71123</t>
  </si>
  <si>
    <t>I.Sarajevo</t>
  </si>
  <si>
    <t>Mostar, Stjepana Radića 39</t>
  </si>
  <si>
    <t>Metropolis, Ul. Maršala Tita 21</t>
  </si>
  <si>
    <t>Kenna d.o.o. Sarajevo</t>
  </si>
  <si>
    <t>200544250004</t>
  </si>
  <si>
    <t>4200544250004</t>
  </si>
  <si>
    <t>Rajlovačka bb, Sarajevo</t>
  </si>
  <si>
    <t xml:space="preserve">Zvijezda d.o.o. </t>
  </si>
  <si>
    <t>Sarajevo  71000</t>
  </si>
  <si>
    <t>200180110007</t>
  </si>
  <si>
    <t>4200180110007</t>
  </si>
  <si>
    <t>60 dana</t>
  </si>
  <si>
    <t>Shane, Akademika Petra Mandića 17</t>
  </si>
  <si>
    <t xml:space="preserve">Lounge bar "Shane" Nedeljko Bakula </t>
  </si>
  <si>
    <t>I.Ilidža 71213</t>
  </si>
  <si>
    <t>511428370006</t>
  </si>
  <si>
    <t>4511428370006</t>
  </si>
  <si>
    <t>Baoli, Avde Sumbula 3</t>
  </si>
  <si>
    <t>UR "BAOLI" Sarajevo</t>
  </si>
  <si>
    <t>303430690008</t>
  </si>
  <si>
    <t>4303430690008</t>
  </si>
  <si>
    <t>BCC Sarajevo, PJ. 247</t>
  </si>
  <si>
    <t>Branilaca Sarajeva 30</t>
  </si>
  <si>
    <t>"S.A" Privredno drustvo za trgovinu odjecom i obucom d.o.o.</t>
  </si>
  <si>
    <t>200188440006</t>
  </si>
  <si>
    <t>4200188440006</t>
  </si>
  <si>
    <t>Maršala Tita 23</t>
  </si>
  <si>
    <t>ICE 87 d.o.o.</t>
  </si>
  <si>
    <t>202723330005</t>
  </si>
  <si>
    <t>4202723330005</t>
  </si>
  <si>
    <t>Serda, Kolodvorska 6</t>
  </si>
  <si>
    <t>SRRA SERDA d.o.o.</t>
  </si>
  <si>
    <t>200816600000</t>
  </si>
  <si>
    <t>4200816600000</t>
  </si>
  <si>
    <t>Park Prinčeva, Iza Hrida 7</t>
  </si>
  <si>
    <t>UR "Park Prinčeva"</t>
  </si>
  <si>
    <t>Hoše, Tvornička 20</t>
  </si>
  <si>
    <t>HOŠE KOMERC doo</t>
  </si>
  <si>
    <t>Knock, Maršala Tita 54</t>
  </si>
  <si>
    <t>Knock-knock d.o.o.</t>
  </si>
  <si>
    <t>Didaco, Cara Dušana 66</t>
  </si>
  <si>
    <t>Didaco Commerce d.o.o.</t>
  </si>
  <si>
    <t>Laktaši, 78250</t>
  </si>
  <si>
    <t>Laktaši</t>
  </si>
  <si>
    <t>VEGANER - ul. Čobanija br 1</t>
  </si>
  <si>
    <t>MORE d.o.o.</t>
  </si>
  <si>
    <t xml:space="preserve">7 dana </t>
  </si>
  <si>
    <t>nije u pdv</t>
  </si>
  <si>
    <t>Željeznička bb</t>
  </si>
  <si>
    <t>Lactalis d.o.o.  BH</t>
  </si>
  <si>
    <t>Gradačac, 76250</t>
  </si>
  <si>
    <t>Gradačac</t>
  </si>
  <si>
    <t>Biletić polje bb</t>
  </si>
  <si>
    <t xml:space="preserve">Mališić export import d.o.o </t>
  </si>
  <si>
    <t>Čitluk, 88260</t>
  </si>
  <si>
    <t>Čitluk</t>
  </si>
  <si>
    <t>Aerodromska 29</t>
  </si>
  <si>
    <t>U.R. BARKA</t>
  </si>
  <si>
    <t>Istočna Ilidža</t>
  </si>
  <si>
    <t>Trg Kralja Aleksandra 2</t>
  </si>
  <si>
    <t>A&amp;G D.O.O.</t>
  </si>
  <si>
    <t>Panorama Sole, Skendepašina 33</t>
  </si>
  <si>
    <t>Panorama Sole d.o.o.</t>
  </si>
  <si>
    <t>Poreski period</t>
  </si>
  <si>
    <t>Vrsta sloga isporuka 2</t>
  </si>
  <si>
    <t>Porezni period</t>
  </si>
  <si>
    <t>Redni broj</t>
  </si>
  <si>
    <t>Tip dokumenta</t>
  </si>
  <si>
    <t>Broj fakture ili drugog dokumeta</t>
  </si>
  <si>
    <t>Datum fakture ili drugog dokumenta</t>
  </si>
  <si>
    <t>Naziv kupca</t>
  </si>
  <si>
    <t>Sjedište kupca</t>
  </si>
  <si>
    <t>PDV broj dobavljača</t>
  </si>
  <si>
    <t>JIB broj dobavljača a</t>
  </si>
  <si>
    <t xml:space="preserve">Iznos fakture </t>
  </si>
  <si>
    <t>Iznos interne fakture u vanposlovne svrhe</t>
  </si>
  <si>
    <t>Iznos fakture za izvozne isporuke, na osnovu izvoznih carinskih isprava,</t>
  </si>
  <si>
    <t>Iznos fakture za ostale isporuke oslobođene plaćanja PDV-a</t>
  </si>
  <si>
    <t>Osnovica za obračun PDV-a za isporuku izvršenu registriranom obvezniku PDV-a</t>
  </si>
  <si>
    <t>Iznos izlaznog PDV-a za isporuku izvršenu registriranom obvezniku PDV-a</t>
  </si>
  <si>
    <t>Osnovica za obračun PDV-a za isporuku izvršenu licu koje nije registrirani obveznik PDV-a</t>
  </si>
  <si>
    <t>Iznos izlaznog PDV-a za isporuku izvršenu licu koje nije registrirani obveznik PDV-a</t>
  </si>
  <si>
    <t>Iznos izlaznog PDV-a koji se unosi u polje 32 PDV prijave</t>
  </si>
  <si>
    <t>Iznos izlaznog PDV-a koji se unosi u polje 33 PDV prijave i</t>
  </si>
  <si>
    <t>Ukupan izlazni PDV koji se ne može odbiti, a koji se unosi u polje 34 PDV prijave</t>
  </si>
  <si>
    <t>Poslije unosa svih podataka na "Za fakturisanje" isprintati SVE fakture</t>
  </si>
  <si>
    <t>Nakon sto se sve isprinta kopirati iz "Za KIF-a" u "KIF" - paste values</t>
  </si>
  <si>
    <t>Ime artikla</t>
  </si>
  <si>
    <t>cijena</t>
  </si>
  <si>
    <t>jm</t>
  </si>
  <si>
    <t>svježe klice Alfalfa        90218476</t>
  </si>
  <si>
    <t>kom</t>
  </si>
  <si>
    <t>svježe klice mix 1         90218479</t>
  </si>
  <si>
    <t>svježe klice mix 2         90218481</t>
  </si>
  <si>
    <t>svježe klice mix 3         90218485</t>
  </si>
  <si>
    <t>mikropovrće Brokula    90243657</t>
  </si>
  <si>
    <t>mikropovrće mix1        90243658</t>
  </si>
  <si>
    <t>mikropovrće mix2        90243659</t>
  </si>
  <si>
    <t>mikropovrće Rukola     90277072</t>
  </si>
  <si>
    <t>svježe klice Alfalfa          D 17464</t>
  </si>
  <si>
    <t>svježe klice mix 1           D 17465</t>
  </si>
  <si>
    <t>svježe klice mix 2           D 17466</t>
  </si>
  <si>
    <t>svježe klice mix 3           D 17467</t>
  </si>
  <si>
    <t>mikropovrće Brokula     J 13769</t>
  </si>
  <si>
    <t>mikropovrće mix1          J 13770</t>
  </si>
  <si>
    <t>mikropovrće mix2          J 13771</t>
  </si>
  <si>
    <t>mikropovrće Rukola       J 14032</t>
  </si>
  <si>
    <t>klice mix1</t>
  </si>
  <si>
    <t>za metropolis</t>
  </si>
  <si>
    <t>bilo 3.30</t>
  </si>
  <si>
    <t>Svježe klice Alfalfa</t>
  </si>
  <si>
    <t>Svježe klice Piskavica</t>
  </si>
  <si>
    <t>Svježe klice mungo grah</t>
  </si>
  <si>
    <t>Svježe klice Leće</t>
  </si>
  <si>
    <t>Svježe klice China rose</t>
  </si>
  <si>
    <t>Svježe klice Daikon</t>
  </si>
  <si>
    <t>klice mix2</t>
  </si>
  <si>
    <t>Mikropovrće Brokula</t>
  </si>
  <si>
    <t>bilo 3,50</t>
  </si>
  <si>
    <t>Mikropovrće Rukola</t>
  </si>
  <si>
    <t>Mikropovrće china rose</t>
  </si>
  <si>
    <t>Mikropovrće vulcano</t>
  </si>
  <si>
    <t>bilo 4.00</t>
  </si>
  <si>
    <t>Mikropovrće crveni kupus</t>
  </si>
  <si>
    <t>Mikropovrće suncokret</t>
  </si>
  <si>
    <t>Mikropovrće daikon</t>
  </si>
  <si>
    <t>Kikiriki puter 200 g</t>
  </si>
  <si>
    <t>hoše</t>
  </si>
  <si>
    <t>Kikiriki puter 300 g</t>
  </si>
  <si>
    <t>za zelenaru</t>
  </si>
  <si>
    <t>Mikropovrće keleraba</t>
  </si>
  <si>
    <t>didaco</t>
  </si>
  <si>
    <t>malisic</t>
  </si>
  <si>
    <t>lactalis</t>
  </si>
  <si>
    <t>mališić</t>
  </si>
  <si>
    <t>mikro rukola</t>
  </si>
  <si>
    <t>bilo 3.00</t>
  </si>
  <si>
    <t>Šifra</t>
  </si>
  <si>
    <t>Barkod</t>
  </si>
  <si>
    <t>Naziv</t>
  </si>
  <si>
    <t>JM</t>
  </si>
  <si>
    <t>Cijena</t>
  </si>
  <si>
    <t>Stopa</t>
  </si>
  <si>
    <t>Lager</t>
  </si>
  <si>
    <t>E</t>
  </si>
  <si>
    <t>Ime sheeta</t>
  </si>
  <si>
    <t>KUPAC</t>
  </si>
  <si>
    <t>Mjesto dostave</t>
  </si>
  <si>
    <t>br fisk. Rac</t>
  </si>
  <si>
    <t>br. Fakt.</t>
  </si>
  <si>
    <t>vrijed bez PDV</t>
  </si>
  <si>
    <t>PDV</t>
  </si>
  <si>
    <t>Ukupno</t>
  </si>
  <si>
    <t>Datum</t>
  </si>
  <si>
    <t>datum fakture</t>
  </si>
  <si>
    <t>fak 1</t>
  </si>
  <si>
    <t>datum isporuke</t>
  </si>
  <si>
    <t>fak 2</t>
  </si>
  <si>
    <t>fak 3</t>
  </si>
  <si>
    <t>fak 4</t>
  </si>
  <si>
    <t>fak 5</t>
  </si>
  <si>
    <t>fak 6</t>
  </si>
  <si>
    <t>formula za zadnji neprazni red</t>
  </si>
  <si>
    <t>fak 7</t>
  </si>
  <si>
    <t>zadnji broj fakture iz kifa</t>
  </si>
  <si>
    <t>kopija formula, ove lijevo nisu zakljucane</t>
  </si>
  <si>
    <t>fak 8</t>
  </si>
  <si>
    <t>zadnji BF iz Kifa</t>
  </si>
  <si>
    <t>fak 9</t>
  </si>
  <si>
    <t>fak 10</t>
  </si>
  <si>
    <t>fak 11</t>
  </si>
  <si>
    <t>fak 12</t>
  </si>
  <si>
    <t>fak 13</t>
  </si>
  <si>
    <t>fak 14</t>
  </si>
  <si>
    <t>fak 15</t>
  </si>
  <si>
    <t>fak 16</t>
  </si>
  <si>
    <t>fak 17</t>
  </si>
  <si>
    <t>fak 18</t>
  </si>
  <si>
    <t>fak 19</t>
  </si>
  <si>
    <t>fak1</t>
  </si>
  <si>
    <t>fak2</t>
  </si>
  <si>
    <t>fak3</t>
  </si>
  <si>
    <t>fak4</t>
  </si>
  <si>
    <t>fak5</t>
  </si>
  <si>
    <t>fak6</t>
  </si>
  <si>
    <t>fak7</t>
  </si>
  <si>
    <t>fak8</t>
  </si>
  <si>
    <t>fak9</t>
  </si>
  <si>
    <t>fak10</t>
  </si>
  <si>
    <t>fak11</t>
  </si>
  <si>
    <t>fak12</t>
  </si>
  <si>
    <t>fak13</t>
  </si>
  <si>
    <t>fak14</t>
  </si>
  <si>
    <t>fak15</t>
  </si>
  <si>
    <t>fak16</t>
  </si>
  <si>
    <t>fak17</t>
  </si>
  <si>
    <t>fak18</t>
  </si>
  <si>
    <t>fak19</t>
  </si>
  <si>
    <t>Interna sifra</t>
  </si>
  <si>
    <t>more d.o.o.</t>
  </si>
  <si>
    <t>toner 26.01.</t>
  </si>
  <si>
    <t>vpc</t>
  </si>
  <si>
    <t xml:space="preserve"> </t>
  </si>
  <si>
    <t>datum</t>
  </si>
  <si>
    <t>Januar 2021</t>
  </si>
  <si>
    <t>Bosanska poljana bb    - KO</t>
  </si>
  <si>
    <t>21020/ko</t>
  </si>
  <si>
    <t>18.1.2021.</t>
  </si>
  <si>
    <t>Zvijezda d.o.o.</t>
  </si>
  <si>
    <t>Rajloivačka bb Sarajevo</t>
  </si>
  <si>
    <t>FEBRUAR 2021</t>
  </si>
  <si>
    <t>Mart 2021</t>
  </si>
  <si>
    <t>April</t>
  </si>
  <si>
    <t>16.8.2021.</t>
  </si>
  <si>
    <t>Mališić Export-Import d.o.o.</t>
  </si>
  <si>
    <t>Ćitluk</t>
  </si>
  <si>
    <t>Lactalis d.o.o.</t>
  </si>
  <si>
    <t>15.10.2021.</t>
  </si>
  <si>
    <t>PRESKOĆENI BROJEVI    - GREŠKA</t>
  </si>
  <si>
    <t/>
  </si>
  <si>
    <t>Broj fakture</t>
  </si>
  <si>
    <t>broj fisk  racuna</t>
  </si>
  <si>
    <t>valuta plaćanja</t>
  </si>
  <si>
    <t>Micro food o.d.</t>
  </si>
  <si>
    <t>Poslovna banka: Intesa Sanpaolo bank</t>
  </si>
  <si>
    <t>Grada Kalgarija 6</t>
  </si>
  <si>
    <t>Transakcijski račun (BAM) 1540012015075254</t>
  </si>
  <si>
    <t>ID broj 4303187900007</t>
  </si>
  <si>
    <t>063/354-632, microfood.ba@gmail.com</t>
  </si>
  <si>
    <t>PDV broj 303187900007</t>
  </si>
  <si>
    <t>Kupac</t>
  </si>
  <si>
    <t>grad:</t>
  </si>
  <si>
    <t xml:space="preserve">mjesto isporuke </t>
  </si>
  <si>
    <t xml:space="preserve">    - KM -</t>
  </si>
  <si>
    <t>RB.</t>
  </si>
  <si>
    <t>Opis</t>
  </si>
  <si>
    <t>jed. mj.</t>
  </si>
  <si>
    <t>kol.</t>
  </si>
  <si>
    <t>VPC</t>
  </si>
  <si>
    <t>VP vrijednost</t>
  </si>
  <si>
    <t>rabat %</t>
  </si>
  <si>
    <t>iznos rabata</t>
  </si>
  <si>
    <t>osnov za PDV 17%</t>
  </si>
  <si>
    <t>vrijednost sa PDV</t>
  </si>
  <si>
    <t xml:space="preserve">Veleprodajna vrijednost: </t>
  </si>
  <si>
    <t>KM</t>
  </si>
  <si>
    <t>Rabat</t>
  </si>
  <si>
    <t>Vrijednost  bez PDV-a</t>
  </si>
  <si>
    <t>PDV 17%</t>
  </si>
  <si>
    <t>Za plaćanje ( sa PDV)</t>
  </si>
  <si>
    <t>Dobavljač</t>
  </si>
  <si>
    <t>Ž</t>
  </si>
  <si>
    <t>ID br. 4202967550015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</si>
</sst>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141A]d\.m\.yyyy\.;@"/>
    <numFmt numFmtId="165" formatCode="00"/>
    <numFmt numFmtId="166" formatCode="yyyy\-mm\-dd;@"/>
  </numFmts>
  <fonts count="3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0"/>
      <color theme="1" tint="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8"/>
      <color theme="1" tint="0.14999847407452621"/>
      <name val="Calibri"/>
      <family val="2"/>
      <scheme val="minor"/>
    </font>
    <font>
      <sz val="9"/>
      <color theme="1" tint="0.1499984740745262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  <font>
      <sz val="10"/>
      <color rgb="FF212529"/>
      <name val="Segoe UI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b/>
      <sz val="8"/>
      <color theme="1"/>
      <name val="Calibri"/>
      <family val="2"/>
      <scheme val="minor"/>
    </font>
    <font>
      <sz val="12"/>
      <color theme="0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42729"/>
      <name val="Consolas"/>
      <family val="3"/>
    </font>
    <font>
      <sz val="8"/>
      <color theme="1"/>
      <name val="Consolas"/>
      <family val="3"/>
    </font>
    <font>
      <sz val="9"/>
      <color rgb="FF242729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454545"/>
      <name val="Arial"/>
      <family val="2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charset val="238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11"/>
      <color rgb="FFFF0000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</fills>
  <borders count="36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1" tint="0.4999847407452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19" fillId="0" borderId="21" applyNumberFormat="0" applyFill="0" applyAlignment="0" applyProtection="0"/>
    <xf numFmtId="0" fontId="20" fillId="8" borderId="0" applyNumberFormat="0" applyBorder="0" applyAlignment="0" applyProtection="0"/>
  </cellStyleXfs>
  <cellXfs count="205">
    <xf numFmtId="0" fontId="0" fillId="0" borderId="0" xfId="0"/>
    <xf numFmtId="2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right"/>
    </xf>
    <xf numFmtId="0" fontId="6" fillId="3" borderId="0" xfId="0" applyFont="1" applyFill="1"/>
    <xf numFmtId="0" fontId="6" fillId="3" borderId="1" xfId="0" applyFont="1" applyFill="1" applyBorder="1" applyAlignment="1">
      <alignment horizontal="center"/>
    </xf>
    <xf numFmtId="0" fontId="6" fillId="0" borderId="0" xfId="0" applyFont="1"/>
    <xf numFmtId="0" fontId="6" fillId="3" borderId="2" xfId="0" applyFont="1" applyFill="1" applyBorder="1" applyAlignment="1">
      <alignment horizontal="center"/>
    </xf>
    <xf numFmtId="0" fontId="6" fillId="3" borderId="2" xfId="0" applyFont="1" applyFill="1" applyBorder="1"/>
    <xf numFmtId="0" fontId="7" fillId="3" borderId="0" xfId="1" applyFont="1" applyFill="1" applyAlignment="1" applyProtection="1">
      <alignment horizontal="left"/>
    </xf>
    <xf numFmtId="0" fontId="7" fillId="3" borderId="0" xfId="1" applyFont="1" applyFill="1" applyProtection="1"/>
    <xf numFmtId="0" fontId="7" fillId="3" borderId="0" xfId="1" applyFont="1" applyFill="1" applyAlignment="1" applyProtection="1">
      <alignment horizontal="center"/>
    </xf>
    <xf numFmtId="0" fontId="7" fillId="3" borderId="3" xfId="1" applyFont="1" applyFill="1" applyBorder="1" applyAlignment="1" applyProtection="1">
      <alignment horizontal="left"/>
    </xf>
    <xf numFmtId="0" fontId="7" fillId="3" borderId="3" xfId="1" applyFont="1" applyFill="1" applyBorder="1" applyProtection="1"/>
    <xf numFmtId="0" fontId="8" fillId="3" borderId="3" xfId="1" applyFont="1" applyFill="1" applyBorder="1" applyProtection="1"/>
    <xf numFmtId="0" fontId="7" fillId="3" borderId="3" xfId="1" applyFont="1" applyFill="1" applyBorder="1" applyAlignment="1" applyProtection="1">
      <alignment horizontal="center"/>
    </xf>
    <xf numFmtId="0" fontId="6" fillId="3" borderId="4" xfId="0" applyFont="1" applyFill="1" applyBorder="1" applyAlignment="1">
      <alignment horizontal="right"/>
    </xf>
    <xf numFmtId="0" fontId="9" fillId="3" borderId="4" xfId="0" applyFont="1" applyFill="1" applyBorder="1"/>
    <xf numFmtId="0" fontId="6" fillId="3" borderId="4" xfId="0" applyFont="1" applyFill="1" applyBorder="1"/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3" borderId="1" xfId="0" applyFont="1" applyFill="1" applyBorder="1" applyAlignment="1">
      <alignment horizontal="right"/>
    </xf>
    <xf numFmtId="0" fontId="6" fillId="3" borderId="1" xfId="0" applyFont="1" applyFill="1" applyBorder="1"/>
    <xf numFmtId="0" fontId="6" fillId="3" borderId="0" xfId="0" applyFont="1" applyFill="1" applyAlignment="1">
      <alignment horizontal="center"/>
    </xf>
    <xf numFmtId="0" fontId="10" fillId="3" borderId="5" xfId="1" applyFont="1" applyFill="1" applyBorder="1" applyAlignment="1" applyProtection="1">
      <alignment horizontal="center" vertical="center" wrapText="1"/>
    </xf>
    <xf numFmtId="0" fontId="7" fillId="3" borderId="5" xfId="0" applyFont="1" applyFill="1" applyBorder="1" applyAlignment="1">
      <alignment horizontal="right"/>
    </xf>
    <xf numFmtId="0" fontId="7" fillId="3" borderId="5" xfId="1" applyFont="1" applyFill="1" applyBorder="1" applyProtection="1"/>
    <xf numFmtId="2" fontId="7" fillId="3" borderId="5" xfId="0" applyNumberFormat="1" applyFont="1" applyFill="1" applyBorder="1" applyAlignment="1">
      <alignment horizontal="right"/>
    </xf>
    <xf numFmtId="2" fontId="7" fillId="3" borderId="5" xfId="1" applyNumberFormat="1" applyFont="1" applyFill="1" applyBorder="1" applyAlignment="1" applyProtection="1">
      <alignment horizontal="right"/>
    </xf>
    <xf numFmtId="0" fontId="12" fillId="0" borderId="0" xfId="0" applyFont="1"/>
    <xf numFmtId="0" fontId="7" fillId="3" borderId="5" xfId="1" applyFont="1" applyFill="1" applyBorder="1" applyAlignment="1" applyProtection="1">
      <alignment horizontal="right"/>
    </xf>
    <xf numFmtId="0" fontId="7" fillId="3" borderId="0" xfId="0" applyFont="1" applyFill="1" applyAlignment="1">
      <alignment horizontal="right"/>
    </xf>
    <xf numFmtId="0" fontId="7" fillId="3" borderId="0" xfId="0" applyFont="1" applyFill="1"/>
    <xf numFmtId="2" fontId="7" fillId="3" borderId="0" xfId="0" applyNumberFormat="1" applyFont="1" applyFill="1"/>
    <xf numFmtId="0" fontId="7" fillId="3" borderId="5" xfId="1" applyFont="1" applyFill="1" applyBorder="1" applyAlignment="1" applyProtection="1">
      <alignment horizontal="center"/>
    </xf>
    <xf numFmtId="2" fontId="7" fillId="3" borderId="5" xfId="1" applyNumberFormat="1" applyFont="1" applyFill="1" applyBorder="1" applyProtection="1"/>
    <xf numFmtId="0" fontId="13" fillId="3" borderId="5" xfId="1" applyFont="1" applyFill="1" applyBorder="1" applyProtection="1"/>
    <xf numFmtId="0" fontId="13" fillId="3" borderId="5" xfId="1" applyFont="1" applyFill="1" applyBorder="1" applyAlignment="1" applyProtection="1">
      <alignment horizontal="center"/>
    </xf>
    <xf numFmtId="0" fontId="8" fillId="0" borderId="0" xfId="0" applyFont="1"/>
    <xf numFmtId="2" fontId="8" fillId="0" borderId="0" xfId="0" applyNumberFormat="1" applyFont="1"/>
    <xf numFmtId="0" fontId="7" fillId="3" borderId="7" xfId="0" applyFont="1" applyFill="1" applyBorder="1"/>
    <xf numFmtId="2" fontId="7" fillId="3" borderId="7" xfId="1" applyNumberFormat="1" applyFont="1" applyFill="1" applyBorder="1" applyProtection="1"/>
    <xf numFmtId="0" fontId="7" fillId="3" borderId="10" xfId="0" applyFont="1" applyFill="1" applyBorder="1"/>
    <xf numFmtId="0" fontId="7" fillId="3" borderId="11" xfId="0" applyFont="1" applyFill="1" applyBorder="1"/>
    <xf numFmtId="0" fontId="7" fillId="3" borderId="12" xfId="0" applyFont="1" applyFill="1" applyBorder="1"/>
    <xf numFmtId="0" fontId="7" fillId="3" borderId="13" xfId="0" applyFont="1" applyFill="1" applyBorder="1"/>
    <xf numFmtId="0" fontId="7" fillId="3" borderId="16" xfId="0" applyFont="1" applyFill="1" applyBorder="1"/>
    <xf numFmtId="0" fontId="7" fillId="3" borderId="18" xfId="0" applyFont="1" applyFill="1" applyBorder="1"/>
    <xf numFmtId="0" fontId="10" fillId="3" borderId="5" xfId="1" applyFont="1" applyFill="1" applyBorder="1" applyAlignment="1" applyProtection="1">
      <alignment horizontal="right" vertical="center"/>
    </xf>
    <xf numFmtId="0" fontId="10" fillId="3" borderId="5" xfId="1" applyFont="1" applyFill="1" applyBorder="1" applyAlignment="1" applyProtection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18" fillId="7" borderId="0" xfId="0" applyFont="1" applyFill="1" applyAlignment="1">
      <alignment horizontal="center" vertical="center"/>
    </xf>
    <xf numFmtId="0" fontId="10" fillId="3" borderId="5" xfId="1" applyFont="1" applyFill="1" applyBorder="1" applyAlignment="1" applyProtection="1">
      <alignment horizontal="center" vertical="center" textRotation="90"/>
    </xf>
    <xf numFmtId="14" fontId="22" fillId="0" borderId="0" xfId="0" applyNumberFormat="1" applyFont="1" applyAlignment="1">
      <alignment horizontal="left"/>
    </xf>
    <xf numFmtId="2" fontId="23" fillId="0" borderId="0" xfId="0" applyNumberFormat="1" applyFont="1"/>
    <xf numFmtId="14" fontId="5" fillId="0" borderId="0" xfId="0" applyNumberFormat="1" applyFont="1" applyAlignment="1">
      <alignment horizontal="left"/>
    </xf>
    <xf numFmtId="0" fontId="24" fillId="0" borderId="0" xfId="0" applyFont="1"/>
    <xf numFmtId="0" fontId="25" fillId="0" borderId="0" xfId="0" quotePrefix="1" applyFont="1" applyAlignment="1">
      <alignment wrapText="1"/>
    </xf>
    <xf numFmtId="0" fontId="7" fillId="3" borderId="22" xfId="0" applyFont="1" applyFill="1" applyBorder="1"/>
    <xf numFmtId="0" fontId="7" fillId="3" borderId="22" xfId="0" applyFont="1" applyFill="1" applyBorder="1" applyAlignment="1">
      <alignment horizontal="center"/>
    </xf>
    <xf numFmtId="2" fontId="7" fillId="3" borderId="22" xfId="0" applyNumberFormat="1" applyFont="1" applyFill="1" applyBorder="1"/>
    <xf numFmtId="2" fontId="7" fillId="3" borderId="6" xfId="1" applyNumberFormat="1" applyFont="1" applyFill="1" applyBorder="1" applyProtection="1"/>
    <xf numFmtId="0" fontId="7" fillId="3" borderId="6" xfId="1" applyFont="1" applyFill="1" applyBorder="1" applyAlignment="1" applyProtection="1">
      <alignment horizontal="center"/>
    </xf>
    <xf numFmtId="2" fontId="7" fillId="3" borderId="22" xfId="1" applyNumberFormat="1" applyFont="1" applyFill="1" applyBorder="1" applyProtection="1"/>
    <xf numFmtId="2" fontId="13" fillId="3" borderId="6" xfId="1" applyNumberFormat="1" applyFont="1" applyFill="1" applyBorder="1" applyProtection="1"/>
    <xf numFmtId="0" fontId="6" fillId="3" borderId="7" xfId="1" applyFont="1" applyFill="1" applyBorder="1" applyProtection="1"/>
    <xf numFmtId="0" fontId="6" fillId="3" borderId="7" xfId="0" applyFont="1" applyFill="1" applyBorder="1"/>
    <xf numFmtId="2" fontId="13" fillId="3" borderId="22" xfId="1" applyNumberFormat="1" applyFont="1" applyFill="1" applyBorder="1" applyProtection="1"/>
    <xf numFmtId="0" fontId="13" fillId="3" borderId="7" xfId="1" applyFont="1" applyFill="1" applyBorder="1" applyProtection="1"/>
    <xf numFmtId="0" fontId="7" fillId="3" borderId="5" xfId="1" applyFont="1" applyFill="1" applyBorder="1" applyAlignment="1" applyProtection="1">
      <alignment horizontal="left"/>
    </xf>
    <xf numFmtId="0" fontId="7" fillId="3" borderId="6" xfId="0" applyFont="1" applyFill="1" applyBorder="1" applyAlignment="1">
      <alignment horizontal="left"/>
    </xf>
    <xf numFmtId="0" fontId="13" fillId="3" borderId="5" xfId="1" applyFont="1" applyFill="1" applyBorder="1" applyAlignment="1" applyProtection="1">
      <alignment horizontal="left"/>
    </xf>
    <xf numFmtId="0" fontId="7" fillId="3" borderId="2" xfId="0" applyFont="1" applyFill="1" applyBorder="1"/>
    <xf numFmtId="0" fontId="7" fillId="3" borderId="1" xfId="0" applyFont="1" applyFill="1" applyBorder="1"/>
    <xf numFmtId="0" fontId="26" fillId="0" borderId="0" xfId="0" applyFont="1" applyAlignment="1">
      <alignment horizontal="left" vertical="center" indent="1"/>
    </xf>
    <xf numFmtId="0" fontId="7" fillId="3" borderId="19" xfId="0" applyFont="1" applyFill="1" applyBorder="1" applyAlignment="1">
      <alignment horizontal="left"/>
    </xf>
    <xf numFmtId="0" fontId="7" fillId="3" borderId="15" xfId="0" applyFont="1" applyFill="1" applyBorder="1" applyAlignment="1">
      <alignment horizontal="left"/>
    </xf>
    <xf numFmtId="0" fontId="7" fillId="3" borderId="1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1" fontId="7" fillId="3" borderId="5" xfId="1" applyNumberFormat="1" applyFont="1" applyFill="1" applyBorder="1" applyProtection="1"/>
    <xf numFmtId="0" fontId="27" fillId="0" borderId="0" xfId="0" applyFont="1"/>
    <xf numFmtId="0" fontId="28" fillId="0" borderId="0" xfId="0" applyFont="1"/>
    <xf numFmtId="0" fontId="19" fillId="0" borderId="23" xfId="3" applyBorder="1" applyProtection="1"/>
    <xf numFmtId="0" fontId="19" fillId="0" borderId="24" xfId="3" applyBorder="1" applyProtection="1"/>
    <xf numFmtId="2" fontId="19" fillId="0" borderId="24" xfId="3" applyNumberFormat="1" applyBorder="1" applyProtection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28" fillId="0" borderId="28" xfId="0" applyFont="1" applyBorder="1"/>
    <xf numFmtId="2" fontId="23" fillId="0" borderId="28" xfId="0" applyNumberFormat="1" applyFont="1" applyBorder="1"/>
    <xf numFmtId="2" fontId="19" fillId="0" borderId="29" xfId="3" applyNumberFormat="1" applyFill="1" applyBorder="1" applyProtection="1"/>
    <xf numFmtId="0" fontId="0" fillId="0" borderId="26" xfId="0" applyBorder="1"/>
    <xf numFmtId="0" fontId="27" fillId="0" borderId="28" xfId="0" applyFont="1" applyBorder="1"/>
    <xf numFmtId="14" fontId="22" fillId="0" borderId="28" xfId="0" applyNumberFormat="1" applyFont="1" applyBorder="1" applyAlignment="1">
      <alignment horizontal="left"/>
    </xf>
    <xf numFmtId="0" fontId="5" fillId="0" borderId="0" xfId="0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" fontId="0" fillId="0" borderId="0" xfId="0" applyNumberFormat="1"/>
    <xf numFmtId="0" fontId="29" fillId="0" borderId="0" xfId="0" applyFont="1" applyAlignment="1">
      <alignment horizontal="right"/>
    </xf>
    <xf numFmtId="0" fontId="29" fillId="0" borderId="0" xfId="0" applyFont="1"/>
    <xf numFmtId="49" fontId="4" fillId="0" borderId="0" xfId="0" applyNumberFormat="1" applyFont="1"/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 vertical="center"/>
    </xf>
    <xf numFmtId="0" fontId="21" fillId="0" borderId="0" xfId="0" applyFont="1"/>
    <xf numFmtId="0" fontId="21" fillId="0" borderId="0" xfId="0" applyFont="1" applyAlignment="1">
      <alignment horizontal="right"/>
    </xf>
    <xf numFmtId="4" fontId="21" fillId="0" borderId="0" xfId="0" applyNumberFormat="1" applyFont="1"/>
    <xf numFmtId="0" fontId="31" fillId="0" borderId="0" xfId="0" applyFont="1"/>
    <xf numFmtId="0" fontId="23" fillId="3" borderId="0" xfId="4" applyFont="1" applyFill="1"/>
    <xf numFmtId="0" fontId="23" fillId="3" borderId="0" xfId="4" applyFont="1" applyFill="1" applyAlignment="1">
      <alignment horizontal="right"/>
    </xf>
    <xf numFmtId="4" fontId="23" fillId="3" borderId="0" xfId="4" applyNumberFormat="1" applyFont="1" applyFill="1"/>
    <xf numFmtId="4" fontId="24" fillId="0" borderId="0" xfId="0" applyNumberFormat="1" applyFont="1"/>
    <xf numFmtId="0" fontId="32" fillId="0" borderId="0" xfId="0" applyFont="1" applyAlignment="1">
      <alignment horizontal="center" vertical="center" wrapText="1"/>
    </xf>
    <xf numFmtId="2" fontId="32" fillId="0" borderId="0" xfId="0" applyNumberFormat="1" applyFont="1" applyAlignment="1">
      <alignment horizontal="center" vertical="center" wrapText="1"/>
    </xf>
    <xf numFmtId="0" fontId="30" fillId="0" borderId="0" xfId="0" applyFont="1"/>
    <xf numFmtId="14" fontId="22" fillId="0" borderId="0" xfId="0" applyNumberFormat="1" applyFont="1" applyAlignment="1" applyProtection="1">
      <alignment horizontal="left"/>
      <protection locked="0"/>
    </xf>
    <xf numFmtId="0" fontId="24" fillId="0" borderId="0" xfId="0" applyFont="1" applyProtection="1">
      <protection locked="0"/>
    </xf>
    <xf numFmtId="0" fontId="4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2" fontId="5" fillId="4" borderId="0" xfId="0" applyNumberFormat="1" applyFont="1" applyFill="1" applyAlignment="1">
      <alignment horizontal="center" vertical="center" wrapText="1"/>
    </xf>
    <xf numFmtId="0" fontId="15" fillId="0" borderId="0" xfId="0" applyFont="1"/>
    <xf numFmtId="2" fontId="15" fillId="0" borderId="0" xfId="0" applyNumberFormat="1" applyFont="1"/>
    <xf numFmtId="0" fontId="16" fillId="3" borderId="0" xfId="0" applyFont="1" applyFill="1" applyAlignment="1">
      <alignment wrapText="1"/>
    </xf>
    <xf numFmtId="0" fontId="0" fillId="5" borderId="20" xfId="0" applyFill="1" applyBorder="1"/>
    <xf numFmtId="0" fontId="8" fillId="5" borderId="20" xfId="0" applyFont="1" applyFill="1" applyBorder="1"/>
    <xf numFmtId="2" fontId="8" fillId="5" borderId="20" xfId="0" applyNumberFormat="1" applyFont="1" applyFill="1" applyBorder="1"/>
    <xf numFmtId="0" fontId="0" fillId="6" borderId="20" xfId="0" applyFill="1" applyBorder="1"/>
    <xf numFmtId="0" fontId="8" fillId="6" borderId="20" xfId="0" applyFont="1" applyFill="1" applyBorder="1"/>
    <xf numFmtId="0" fontId="14" fillId="6" borderId="20" xfId="0" applyFont="1" applyFill="1" applyBorder="1"/>
    <xf numFmtId="2" fontId="8" fillId="6" borderId="20" xfId="0" applyNumberFormat="1" applyFont="1" applyFill="1" applyBorder="1"/>
    <xf numFmtId="0" fontId="0" fillId="0" borderId="20" xfId="0" applyBorder="1"/>
    <xf numFmtId="0" fontId="8" fillId="0" borderId="20" xfId="0" applyFont="1" applyBorder="1"/>
    <xf numFmtId="2" fontId="8" fillId="0" borderId="20" xfId="0" applyNumberFormat="1" applyFont="1" applyBorder="1"/>
    <xf numFmtId="0" fontId="17" fillId="4" borderId="0" xfId="0" applyFont="1" applyFill="1" applyAlignment="1" applyProtection="1">
      <alignment horizontal="center" vertical="center" wrapText="1"/>
      <protection locked="0"/>
    </xf>
    <xf numFmtId="0" fontId="0" fillId="5" borderId="20" xfId="0" applyFill="1" applyBorder="1" applyProtection="1">
      <protection locked="0"/>
    </xf>
    <xf numFmtId="0" fontId="14" fillId="5" borderId="20" xfId="0" applyFont="1" applyFill="1" applyBorder="1" applyProtection="1">
      <protection locked="0"/>
    </xf>
    <xf numFmtId="0" fontId="0" fillId="6" borderId="20" xfId="0" applyFill="1" applyBorder="1" applyProtection="1">
      <protection locked="0"/>
    </xf>
    <xf numFmtId="0" fontId="14" fillId="6" borderId="20" xfId="0" applyFont="1" applyFill="1" applyBorder="1" applyProtection="1">
      <protection locked="0"/>
    </xf>
    <xf numFmtId="0" fontId="0" fillId="0" borderId="20" xfId="0" applyBorder="1" applyProtection="1">
      <protection locked="0"/>
    </xf>
    <xf numFmtId="0" fontId="0" fillId="6" borderId="0" xfId="0" applyFill="1" applyProtection="1">
      <protection locked="0"/>
    </xf>
    <xf numFmtId="0" fontId="0" fillId="3" borderId="0" xfId="0" applyFill="1"/>
    <xf numFmtId="164" fontId="32" fillId="0" borderId="0" xfId="0" applyNumberFormat="1" applyFont="1" applyAlignment="1">
      <alignment vertical="center" wrapText="1"/>
    </xf>
    <xf numFmtId="164" fontId="5" fillId="0" borderId="0" xfId="0" applyNumberFormat="1" applyFont="1" applyAlignment="1">
      <alignment vertical="center" wrapText="1"/>
    </xf>
    <xf numFmtId="164" fontId="0" fillId="0" borderId="0" xfId="0" applyNumberFormat="1" applyAlignment="1">
      <alignment vertical="center"/>
    </xf>
    <xf numFmtId="164" fontId="29" fillId="0" borderId="0" xfId="0" applyNumberFormat="1" applyFont="1" applyAlignment="1">
      <alignment vertical="center"/>
    </xf>
    <xf numFmtId="164" fontId="8" fillId="0" borderId="0" xfId="0" applyNumberFormat="1" applyFont="1" applyAlignment="1">
      <alignment vertical="center" wrapText="1"/>
    </xf>
    <xf numFmtId="164" fontId="0" fillId="5" borderId="0" xfId="0" applyNumberFormat="1" applyFill="1" applyAlignment="1">
      <alignment vertical="center"/>
    </xf>
    <xf numFmtId="14" fontId="22" fillId="0" borderId="0" xfId="0" applyNumberFormat="1" applyFont="1" applyAlignment="1">
      <alignment vertical="center"/>
    </xf>
    <xf numFmtId="164" fontId="21" fillId="0" borderId="0" xfId="0" applyNumberFormat="1" applyFont="1" applyAlignment="1">
      <alignment vertical="center"/>
    </xf>
    <xf numFmtId="0" fontId="33" fillId="0" borderId="30" xfId="0" applyFont="1" applyBorder="1" applyAlignment="1">
      <alignment vertical="center" wrapText="1"/>
    </xf>
    <xf numFmtId="0" fontId="34" fillId="0" borderId="0" xfId="0" applyFont="1"/>
    <xf numFmtId="164" fontId="34" fillId="0" borderId="0" xfId="0" applyNumberFormat="1" applyFont="1" applyAlignment="1">
      <alignment vertical="center"/>
    </xf>
    <xf numFmtId="0" fontId="34" fillId="0" borderId="0" xfId="0" applyFont="1" applyAlignment="1">
      <alignment horizontal="right"/>
    </xf>
    <xf numFmtId="4" fontId="34" fillId="0" borderId="0" xfId="0" applyNumberFormat="1" applyFont="1"/>
    <xf numFmtId="0" fontId="34" fillId="0" borderId="0" xfId="0" applyFont="1" applyAlignment="1">
      <alignment horizontal="left"/>
    </xf>
    <xf numFmtId="0" fontId="35" fillId="9" borderId="0" xfId="0" applyFont="1" applyFill="1"/>
    <xf numFmtId="0" fontId="0" fillId="3" borderId="35" xfId="0" applyFill="1" applyBorder="1"/>
    <xf numFmtId="165" fontId="0" fillId="3" borderId="35" xfId="0" applyNumberFormat="1" applyFill="1" applyBorder="1"/>
    <xf numFmtId="166" fontId="0" fillId="0" borderId="0" xfId="0" applyNumberFormat="1"/>
    <xf numFmtId="2" fontId="0" fillId="3" borderId="35" xfId="0" applyNumberFormat="1" applyFill="1" applyBorder="1"/>
    <xf numFmtId="0" fontId="16" fillId="3" borderId="31" xfId="0" applyFont="1" applyFill="1" applyBorder="1" applyAlignment="1">
      <alignment horizontal="center" vertical="center" wrapText="1"/>
    </xf>
    <xf numFmtId="0" fontId="36" fillId="3" borderId="32" xfId="0" applyFont="1" applyFill="1" applyBorder="1" applyAlignment="1">
      <alignment horizontal="center" vertical="center" wrapText="1"/>
    </xf>
    <xf numFmtId="0" fontId="36" fillId="3" borderId="33" xfId="0" applyFont="1" applyFill="1" applyBorder="1" applyAlignment="1">
      <alignment horizontal="center" vertical="center" wrapText="1"/>
    </xf>
    <xf numFmtId="0" fontId="36" fillId="3" borderId="34" xfId="0" applyFont="1" applyFill="1" applyBorder="1" applyAlignment="1">
      <alignment horizontal="center" vertical="center" wrapText="1"/>
    </xf>
    <xf numFmtId="0" fontId="36" fillId="3" borderId="35" xfId="0" applyFont="1" applyFill="1" applyBorder="1" applyAlignment="1">
      <alignment horizontal="center" vertical="center" wrapText="1"/>
    </xf>
    <xf numFmtId="0" fontId="37" fillId="10" borderId="29" xfId="0" applyFont="1" applyFill="1" applyBorder="1" applyAlignment="1">
      <alignment horizontal="center" vertical="center" wrapText="1"/>
    </xf>
    <xf numFmtId="2" fontId="36" fillId="3" borderId="33" xfId="0" applyNumberFormat="1" applyFont="1" applyFill="1" applyBorder="1" applyAlignment="1">
      <alignment horizontal="center" vertical="center" wrapText="1"/>
    </xf>
    <xf numFmtId="2" fontId="36" fillId="3" borderId="32" xfId="0" applyNumberFormat="1" applyFont="1" applyFill="1" applyBorder="1" applyAlignment="1">
      <alignment horizontal="center" vertical="center" wrapText="1"/>
    </xf>
    <xf numFmtId="2" fontId="16" fillId="3" borderId="33" xfId="0" applyNumberFormat="1" applyFont="1" applyFill="1" applyBorder="1" applyAlignment="1">
      <alignment horizontal="center" wrapText="1"/>
    </xf>
    <xf numFmtId="0" fontId="16" fillId="0" borderId="0" xfId="0" applyFont="1"/>
    <xf numFmtId="0" fontId="1" fillId="3" borderId="0" xfId="4" applyFont="1" applyFill="1"/>
    <xf numFmtId="14" fontId="8" fillId="0" borderId="0" xfId="0" applyNumberFormat="1" applyFont="1" applyAlignment="1">
      <alignment vertical="center"/>
    </xf>
    <xf numFmtId="2" fontId="0" fillId="3" borderId="0" xfId="0" applyNumberFormat="1" applyFill="1"/>
    <xf numFmtId="164" fontId="0" fillId="3" borderId="0" xfId="0" applyNumberFormat="1" applyFill="1" applyAlignment="1">
      <alignment vertical="center"/>
    </xf>
    <xf numFmtId="164" fontId="0" fillId="0" borderId="0" xfId="0" applyNumberFormat="1" applyAlignment="1">
      <alignment horizontal="right" vertical="center"/>
    </xf>
    <xf numFmtId="1" fontId="3" fillId="0" borderId="0" xfId="0" applyNumberFormat="1" applyFont="1" applyAlignment="1">
      <alignment horizontal="right"/>
    </xf>
    <xf numFmtId="0" fontId="38" fillId="0" borderId="0" xfId="0" applyFont="1"/>
    <xf numFmtId="2" fontId="38" fillId="0" borderId="0" xfId="0" applyNumberFormat="1" applyFont="1"/>
    <xf numFmtId="164" fontId="38" fillId="0" borderId="0" xfId="0" applyNumberFormat="1" applyFont="1" applyAlignment="1">
      <alignment vertical="center"/>
    </xf>
    <xf numFmtId="0" fontId="7" fillId="3" borderId="0" xfId="1" applyFont="1" applyFill="1" applyBorder="1" applyAlignment="1" applyProtection="1">
      <alignment horizontal="left"/>
    </xf>
    <xf numFmtId="0" fontId="7" fillId="3" borderId="0" xfId="0" applyFont="1" applyFill="1" applyAlignment="1">
      <alignment horizontal="left"/>
    </xf>
    <xf numFmtId="0" fontId="0" fillId="0" borderId="0" xfId="0" applyAlignment="1">
      <alignment horizontal="center" vertical="center" wrapText="1"/>
    </xf>
    <xf numFmtId="0" fontId="18" fillId="7" borderId="0" xfId="0" applyFont="1" applyFill="1" applyAlignment="1">
      <alignment horizontal="right" vertical="center"/>
    </xf>
    <xf numFmtId="0" fontId="7" fillId="3" borderId="1" xfId="0" applyFont="1" applyFill="1" applyBorder="1" applyAlignment="1">
      <alignment horizontal="left"/>
    </xf>
    <xf numFmtId="164" fontId="7" fillId="3" borderId="2" xfId="0" applyNumberFormat="1" applyFont="1" applyFill="1" applyBorder="1" applyAlignment="1">
      <alignment horizontal="left"/>
    </xf>
    <xf numFmtId="0" fontId="7" fillId="3" borderId="8" xfId="1" applyFont="1" applyFill="1" applyBorder="1" applyAlignment="1" applyProtection="1">
      <alignment horizontal="center"/>
    </xf>
    <xf numFmtId="0" fontId="7" fillId="3" borderId="9" xfId="1" applyFont="1" applyFill="1" applyBorder="1" applyAlignment="1" applyProtection="1">
      <alignment horizontal="center"/>
    </xf>
    <xf numFmtId="1" fontId="11" fillId="3" borderId="1" xfId="0" applyNumberFormat="1" applyFont="1" applyFill="1" applyBorder="1" applyAlignment="1">
      <alignment horizontal="left"/>
    </xf>
    <xf numFmtId="1" fontId="11" fillId="3" borderId="2" xfId="0" applyNumberFormat="1" applyFont="1" applyFill="1" applyBorder="1" applyAlignment="1">
      <alignment horizontal="left"/>
    </xf>
    <xf numFmtId="0" fontId="10" fillId="3" borderId="1" xfId="0" applyFont="1" applyFill="1" applyBorder="1" applyAlignment="1">
      <alignment horizontal="right"/>
    </xf>
    <xf numFmtId="0" fontId="10" fillId="3" borderId="2" xfId="0" applyFont="1" applyFill="1" applyBorder="1" applyAlignment="1">
      <alignment horizontal="right"/>
    </xf>
    <xf numFmtId="0" fontId="10" fillId="3" borderId="6" xfId="1" applyFont="1" applyFill="1" applyBorder="1" applyAlignment="1" applyProtection="1">
      <alignment horizontal="center" vertical="center"/>
    </xf>
    <xf numFmtId="0" fontId="10" fillId="3" borderId="7" xfId="1" applyFont="1" applyFill="1" applyBorder="1" applyAlignment="1" applyProtection="1">
      <alignment horizontal="center" vertical="center"/>
    </xf>
    <xf numFmtId="1" fontId="7" fillId="3" borderId="1" xfId="0" applyNumberFormat="1" applyFont="1" applyFill="1" applyBorder="1" applyAlignment="1">
      <alignment horizontal="left"/>
    </xf>
  </cellXfs>
  <cellStyles count="5">
    <cellStyle name="20% - Accent3" xfId="1" builtinId="38"/>
    <cellStyle name="Bad" xfId="4" builtinId="27"/>
    <cellStyle name="Heading 2" xfId="3" builtinId="17"/>
    <cellStyle name="Normal" xfId="0" builtinId="0"/>
    <cellStyle name="Normal 2" xfId="2" xr:uid="{2E4475AC-C291-48D3-887B-991FCACD24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66675</xdr:rowOff>
    </xdr:from>
    <xdr:ext cx="889635" cy="482671"/>
    <xdr:pic>
      <xdr:nvPicPr>
        <xdr:cNvPr id="4" name="Picture 3" descr="micro food.jpg">
          <a:extLst>
            <a:ext uri="{FF2B5EF4-FFF2-40B4-BE49-F238E27FC236}">
              <a16:creationId xmlns:a16="http://schemas.microsoft.com/office/drawing/2014/main" id="{28699529-A16D-4A1E-9275-C521C5D53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0524" y="66675"/>
          <a:ext cx="889635" cy="48267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66675</xdr:rowOff>
    </xdr:from>
    <xdr:ext cx="889635" cy="482671"/>
    <xdr:pic>
      <xdr:nvPicPr>
        <xdr:cNvPr id="2" name="Picture 1" descr="micro food.jpg">
          <a:extLst>
            <a:ext uri="{FF2B5EF4-FFF2-40B4-BE49-F238E27FC236}">
              <a16:creationId xmlns:a16="http://schemas.microsoft.com/office/drawing/2014/main" id="{FD80C287-3EC3-4069-9871-E8A1E234A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66675"/>
          <a:ext cx="889635" cy="48267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66675</xdr:rowOff>
    </xdr:from>
    <xdr:ext cx="889635" cy="482671"/>
    <xdr:pic>
      <xdr:nvPicPr>
        <xdr:cNvPr id="2" name="Picture 1" descr="micro food.jpg">
          <a:extLst>
            <a:ext uri="{FF2B5EF4-FFF2-40B4-BE49-F238E27FC236}">
              <a16:creationId xmlns:a16="http://schemas.microsoft.com/office/drawing/2014/main" id="{EB5A368E-9E78-46AF-878F-2DA310A5B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66675"/>
          <a:ext cx="889635" cy="482671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66675</xdr:rowOff>
    </xdr:from>
    <xdr:ext cx="889635" cy="482671"/>
    <xdr:pic>
      <xdr:nvPicPr>
        <xdr:cNvPr id="2" name="Picture 1" descr="micro food.jpg">
          <a:extLst>
            <a:ext uri="{FF2B5EF4-FFF2-40B4-BE49-F238E27FC236}">
              <a16:creationId xmlns:a16="http://schemas.microsoft.com/office/drawing/2014/main" id="{7F0AC9C4-E191-41F8-8378-CDD2D9C80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64770"/>
          <a:ext cx="889635" cy="482671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66675</xdr:rowOff>
    </xdr:from>
    <xdr:ext cx="889635" cy="482671"/>
    <xdr:pic>
      <xdr:nvPicPr>
        <xdr:cNvPr id="2" name="Picture 1" descr="micro food.jpg">
          <a:extLst>
            <a:ext uri="{FF2B5EF4-FFF2-40B4-BE49-F238E27FC236}">
              <a16:creationId xmlns:a16="http://schemas.microsoft.com/office/drawing/2014/main" id="{04465C54-C82D-4EAA-99B6-57AC2EABE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64770"/>
          <a:ext cx="889635" cy="482671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66675</xdr:rowOff>
    </xdr:from>
    <xdr:ext cx="889635" cy="482671"/>
    <xdr:pic>
      <xdr:nvPicPr>
        <xdr:cNvPr id="2" name="Picture 1" descr="micro food.jpg">
          <a:extLst>
            <a:ext uri="{FF2B5EF4-FFF2-40B4-BE49-F238E27FC236}">
              <a16:creationId xmlns:a16="http://schemas.microsoft.com/office/drawing/2014/main" id="{E480621C-8688-416C-9F4C-690CA5AB1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64770"/>
          <a:ext cx="889635" cy="482671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66675</xdr:rowOff>
    </xdr:from>
    <xdr:ext cx="889635" cy="482671"/>
    <xdr:pic>
      <xdr:nvPicPr>
        <xdr:cNvPr id="2" name="Picture 1" descr="micro food.jpg">
          <a:extLst>
            <a:ext uri="{FF2B5EF4-FFF2-40B4-BE49-F238E27FC236}">
              <a16:creationId xmlns:a16="http://schemas.microsoft.com/office/drawing/2014/main" id="{1AC38A2F-DAF0-43B5-BC88-D264165F9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64770"/>
          <a:ext cx="889635" cy="482671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66675</xdr:rowOff>
    </xdr:from>
    <xdr:ext cx="889635" cy="482671"/>
    <xdr:pic>
      <xdr:nvPicPr>
        <xdr:cNvPr id="2" name="Picture 1" descr="micro food.jpg">
          <a:extLst>
            <a:ext uri="{FF2B5EF4-FFF2-40B4-BE49-F238E27FC236}">
              <a16:creationId xmlns:a16="http://schemas.microsoft.com/office/drawing/2014/main" id="{2C792564-0691-4F32-830E-C41BFE2C0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64770"/>
          <a:ext cx="889635" cy="482671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66675</xdr:rowOff>
    </xdr:from>
    <xdr:ext cx="889635" cy="482671"/>
    <xdr:pic>
      <xdr:nvPicPr>
        <xdr:cNvPr id="2" name="Picture 1" descr="micro food.jpg">
          <a:extLst>
            <a:ext uri="{FF2B5EF4-FFF2-40B4-BE49-F238E27FC236}">
              <a16:creationId xmlns:a16="http://schemas.microsoft.com/office/drawing/2014/main" id="{5F9F0150-AC84-4799-B7B8-F30FB637E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64770"/>
          <a:ext cx="889635" cy="482671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66675</xdr:rowOff>
    </xdr:from>
    <xdr:ext cx="889635" cy="482671"/>
    <xdr:pic>
      <xdr:nvPicPr>
        <xdr:cNvPr id="2" name="Picture 1" descr="micro food.jpg">
          <a:extLst>
            <a:ext uri="{FF2B5EF4-FFF2-40B4-BE49-F238E27FC236}">
              <a16:creationId xmlns:a16="http://schemas.microsoft.com/office/drawing/2014/main" id="{057DBDF3-1852-407F-A560-3EACADDAD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64770"/>
          <a:ext cx="889635" cy="482671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66675</xdr:rowOff>
    </xdr:from>
    <xdr:ext cx="889635" cy="482671"/>
    <xdr:pic>
      <xdr:nvPicPr>
        <xdr:cNvPr id="2" name="Picture 1" descr="micro food.jpg">
          <a:extLst>
            <a:ext uri="{FF2B5EF4-FFF2-40B4-BE49-F238E27FC236}">
              <a16:creationId xmlns:a16="http://schemas.microsoft.com/office/drawing/2014/main" id="{8B0947CB-2C04-4097-94EA-DE4EDABDD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64770"/>
          <a:ext cx="889635" cy="482671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66675</xdr:rowOff>
    </xdr:from>
    <xdr:ext cx="889635" cy="482671"/>
    <xdr:pic>
      <xdr:nvPicPr>
        <xdr:cNvPr id="2" name="Picture 1" descr="micro food.jpg">
          <a:extLst>
            <a:ext uri="{FF2B5EF4-FFF2-40B4-BE49-F238E27FC236}">
              <a16:creationId xmlns:a16="http://schemas.microsoft.com/office/drawing/2014/main" id="{65F4B3F9-E03B-4B2E-9D93-785B9CA56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64770"/>
          <a:ext cx="889635" cy="482671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66675</xdr:rowOff>
    </xdr:from>
    <xdr:ext cx="889635" cy="482671"/>
    <xdr:pic>
      <xdr:nvPicPr>
        <xdr:cNvPr id="2" name="Picture 1" descr="micro food.jpg">
          <a:extLst>
            <a:ext uri="{FF2B5EF4-FFF2-40B4-BE49-F238E27FC236}">
              <a16:creationId xmlns:a16="http://schemas.microsoft.com/office/drawing/2014/main" id="{3E9DB650-54F2-489E-BBAA-FFB59910C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64770"/>
          <a:ext cx="889635" cy="482671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66675</xdr:rowOff>
    </xdr:from>
    <xdr:ext cx="889635" cy="482671"/>
    <xdr:pic>
      <xdr:nvPicPr>
        <xdr:cNvPr id="2" name="Picture 1" descr="micro food.jpg">
          <a:extLst>
            <a:ext uri="{FF2B5EF4-FFF2-40B4-BE49-F238E27FC236}">
              <a16:creationId xmlns:a16="http://schemas.microsoft.com/office/drawing/2014/main" id="{290E966C-1CF5-4B05-8DE4-07AF51CC6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64770"/>
          <a:ext cx="889635" cy="482671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66675</xdr:rowOff>
    </xdr:from>
    <xdr:ext cx="889635" cy="482671"/>
    <xdr:pic>
      <xdr:nvPicPr>
        <xdr:cNvPr id="2" name="Picture 1" descr="micro food.jpg">
          <a:extLst>
            <a:ext uri="{FF2B5EF4-FFF2-40B4-BE49-F238E27FC236}">
              <a16:creationId xmlns:a16="http://schemas.microsoft.com/office/drawing/2014/main" id="{37413E1F-6CCE-4289-B273-14F1E5D12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64770"/>
          <a:ext cx="889635" cy="482671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66675</xdr:rowOff>
    </xdr:from>
    <xdr:ext cx="889635" cy="482671"/>
    <xdr:pic>
      <xdr:nvPicPr>
        <xdr:cNvPr id="2" name="Picture 1" descr="micro food.jpg">
          <a:extLst>
            <a:ext uri="{FF2B5EF4-FFF2-40B4-BE49-F238E27FC236}">
              <a16:creationId xmlns:a16="http://schemas.microsoft.com/office/drawing/2014/main" id="{F5533AAD-B2EC-4D0D-8000-3C6254AE1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64770"/>
          <a:ext cx="889635" cy="482671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66675</xdr:rowOff>
    </xdr:from>
    <xdr:ext cx="889635" cy="482671"/>
    <xdr:pic>
      <xdr:nvPicPr>
        <xdr:cNvPr id="2" name="Picture 1" descr="micro food.jpg">
          <a:extLst>
            <a:ext uri="{FF2B5EF4-FFF2-40B4-BE49-F238E27FC236}">
              <a16:creationId xmlns:a16="http://schemas.microsoft.com/office/drawing/2014/main" id="{6BAB7903-698B-4D86-BD75-BB021DBE0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64770"/>
          <a:ext cx="889635" cy="482671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66675</xdr:rowOff>
    </xdr:from>
    <xdr:ext cx="889635" cy="482671"/>
    <xdr:pic>
      <xdr:nvPicPr>
        <xdr:cNvPr id="2" name="Picture 1" descr="micro food.jpg">
          <a:extLst>
            <a:ext uri="{FF2B5EF4-FFF2-40B4-BE49-F238E27FC236}">
              <a16:creationId xmlns:a16="http://schemas.microsoft.com/office/drawing/2014/main" id="{6C9F640D-6E46-43C3-AD65-52B308C77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64770"/>
          <a:ext cx="889635" cy="482671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66675</xdr:rowOff>
    </xdr:from>
    <xdr:ext cx="889635" cy="482671"/>
    <xdr:pic>
      <xdr:nvPicPr>
        <xdr:cNvPr id="2" name="Picture 1" descr="micro food.jpg">
          <a:extLst>
            <a:ext uri="{FF2B5EF4-FFF2-40B4-BE49-F238E27FC236}">
              <a16:creationId xmlns:a16="http://schemas.microsoft.com/office/drawing/2014/main" id="{ABD97E71-9340-4A3A-980E-5261DB80D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64770"/>
          <a:ext cx="889635" cy="482671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%20-%20KIF%20Micro%20food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tikli"/>
      <sheetName val="EKif Final"/>
      <sheetName val="kif to eKif"/>
      <sheetName val="kupci"/>
      <sheetName val="KIF"/>
      <sheetName val="Formule"/>
      <sheetName val="fak1"/>
      <sheetName val="fak2"/>
      <sheetName val="fak3"/>
      <sheetName val="fak4"/>
      <sheetName val="fak5"/>
      <sheetName val="fak6"/>
      <sheetName val="fak7"/>
      <sheetName val="fak8"/>
      <sheetName val="fak9"/>
      <sheetName val="fak10"/>
      <sheetName val="fak11"/>
      <sheetName val="fak12"/>
      <sheetName val="fak13"/>
      <sheetName val="fak14"/>
      <sheetName val="fak15"/>
      <sheetName val="fak16"/>
      <sheetName val="fak17"/>
      <sheetName val="fak18"/>
      <sheetName val="fak19"/>
      <sheetName val="fak20"/>
      <sheetName val="fak21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3FFF-4892-4AB4-BE23-DAFBBC87236A}">
  <sheetPr codeName="Sheet1"/>
  <dimension ref="A1:I57"/>
  <sheetViews>
    <sheetView topLeftCell="A5" workbookViewId="0">
      <selection activeCell="B37" sqref="B37"/>
    </sheetView>
  </sheetViews>
  <sheetFormatPr defaultRowHeight="14.45"/>
  <cols>
    <col min="1" max="1" width="28.5703125" customWidth="1"/>
    <col min="2" max="3" width="21.140625" customWidth="1"/>
    <col min="4" max="4" width="15" style="2" customWidth="1"/>
    <col min="5" max="5" width="14.7109375" style="2" customWidth="1"/>
    <col min="6" max="6" width="13" customWidth="1"/>
    <col min="7" max="7" width="12.28515625" customWidth="1"/>
    <col min="8" max="8" width="21.140625" customWidth="1"/>
  </cols>
  <sheetData>
    <row r="1" spans="1:8" s="7" customFormat="1" ht="23.45">
      <c r="A1" s="5" t="s">
        <v>0</v>
      </c>
      <c r="B1" s="5" t="s">
        <v>1</v>
      </c>
      <c r="C1" s="5" t="s">
        <v>2</v>
      </c>
      <c r="D1" s="186" t="s">
        <v>3</v>
      </c>
      <c r="E1" s="6" t="s">
        <v>4</v>
      </c>
      <c r="F1" s="5" t="s">
        <v>5</v>
      </c>
      <c r="G1" s="5" t="s">
        <v>6</v>
      </c>
      <c r="H1" s="5" t="s">
        <v>7</v>
      </c>
    </row>
    <row r="2" spans="1:8" ht="19.899999999999999" customHeight="1">
      <c r="A2" s="3" t="s">
        <v>8</v>
      </c>
      <c r="B2" s="3" t="s">
        <v>9</v>
      </c>
      <c r="C2" s="3" t="s">
        <v>10</v>
      </c>
      <c r="D2" s="2" t="s">
        <v>11</v>
      </c>
      <c r="E2" s="4" t="s">
        <v>12</v>
      </c>
      <c r="F2" s="3"/>
      <c r="G2" s="3" t="s">
        <v>13</v>
      </c>
      <c r="H2" s="3" t="s">
        <v>14</v>
      </c>
    </row>
    <row r="3" spans="1:8" ht="19.899999999999999" customHeight="1">
      <c r="A3" s="3" t="s">
        <v>15</v>
      </c>
      <c r="B3" s="3" t="s">
        <v>9</v>
      </c>
      <c r="C3" s="3" t="s">
        <v>10</v>
      </c>
      <c r="D3" s="2" t="s">
        <v>11</v>
      </c>
      <c r="E3" s="4" t="s">
        <v>12</v>
      </c>
      <c r="F3" s="3"/>
      <c r="G3" s="3" t="s">
        <v>13</v>
      </c>
      <c r="H3" s="3" t="s">
        <v>14</v>
      </c>
    </row>
    <row r="4" spans="1:8" ht="19.899999999999999" customHeight="1">
      <c r="A4" s="3" t="s">
        <v>16</v>
      </c>
      <c r="B4" s="3" t="s">
        <v>17</v>
      </c>
      <c r="C4" s="3" t="s">
        <v>18</v>
      </c>
      <c r="D4" s="2">
        <v>209253450003</v>
      </c>
      <c r="E4" s="4">
        <v>4209253450003</v>
      </c>
      <c r="F4" s="3"/>
      <c r="G4" s="3" t="s">
        <v>13</v>
      </c>
      <c r="H4" s="3" t="s">
        <v>19</v>
      </c>
    </row>
    <row r="5" spans="1:8" ht="19.899999999999999" customHeight="1">
      <c r="A5" s="3" t="s">
        <v>20</v>
      </c>
      <c r="B5" s="3" t="s">
        <v>17</v>
      </c>
      <c r="C5" s="3" t="s">
        <v>18</v>
      </c>
      <c r="D5" s="2">
        <v>209253450003</v>
      </c>
      <c r="E5" s="4">
        <v>4209253450003</v>
      </c>
      <c r="F5" s="3"/>
      <c r="G5" s="3" t="s">
        <v>13</v>
      </c>
      <c r="H5" s="3" t="s">
        <v>19</v>
      </c>
    </row>
    <row r="6" spans="1:8" ht="19.899999999999999" customHeight="1">
      <c r="A6" s="3" t="s">
        <v>21</v>
      </c>
      <c r="B6" s="3" t="s">
        <v>17</v>
      </c>
      <c r="C6" s="3" t="s">
        <v>18</v>
      </c>
      <c r="D6" s="2">
        <v>209253450003</v>
      </c>
      <c r="E6" s="4">
        <v>4209253450003</v>
      </c>
      <c r="F6" s="3"/>
      <c r="G6" s="3" t="s">
        <v>13</v>
      </c>
      <c r="H6" s="3" t="s">
        <v>19</v>
      </c>
    </row>
    <row r="7" spans="1:8" ht="19.899999999999999" customHeight="1">
      <c r="A7" s="3" t="s">
        <v>22</v>
      </c>
      <c r="B7" s="3" t="s">
        <v>23</v>
      </c>
      <c r="C7" s="3" t="s">
        <v>10</v>
      </c>
      <c r="D7" s="2" t="s">
        <v>24</v>
      </c>
      <c r="E7" s="4" t="s">
        <v>25</v>
      </c>
      <c r="F7" s="3"/>
      <c r="G7" s="3" t="s">
        <v>26</v>
      </c>
      <c r="H7" s="3" t="s">
        <v>14</v>
      </c>
    </row>
    <row r="8" spans="1:8" ht="19.899999999999999" customHeight="1">
      <c r="A8" s="3" t="s">
        <v>27</v>
      </c>
      <c r="B8" s="3" t="s">
        <v>28</v>
      </c>
      <c r="C8" s="3" t="s">
        <v>10</v>
      </c>
      <c r="D8" s="2" t="s">
        <v>29</v>
      </c>
      <c r="E8" s="4" t="s">
        <v>30</v>
      </c>
      <c r="F8" s="3"/>
      <c r="G8" s="3" t="s">
        <v>26</v>
      </c>
      <c r="H8" s="3" t="s">
        <v>14</v>
      </c>
    </row>
    <row r="9" spans="1:8" ht="19.899999999999999" customHeight="1">
      <c r="A9" s="3" t="s">
        <v>31</v>
      </c>
      <c r="B9" s="3" t="s">
        <v>32</v>
      </c>
      <c r="C9" s="3" t="s">
        <v>10</v>
      </c>
      <c r="D9" s="2" t="s">
        <v>33</v>
      </c>
      <c r="E9" s="4" t="s">
        <v>34</v>
      </c>
      <c r="F9" s="3"/>
      <c r="G9" s="3" t="s">
        <v>26</v>
      </c>
      <c r="H9" s="3" t="s">
        <v>14</v>
      </c>
    </row>
    <row r="10" spans="1:8" ht="19.899999999999999" customHeight="1">
      <c r="A10" s="3" t="s">
        <v>35</v>
      </c>
      <c r="B10" s="3" t="s">
        <v>36</v>
      </c>
      <c r="C10" s="3" t="s">
        <v>10</v>
      </c>
      <c r="D10" s="2" t="s">
        <v>37</v>
      </c>
      <c r="E10" s="4" t="s">
        <v>38</v>
      </c>
      <c r="F10" s="3"/>
      <c r="G10" s="3" t="s">
        <v>26</v>
      </c>
      <c r="H10" s="3" t="s">
        <v>14</v>
      </c>
    </row>
    <row r="11" spans="1:8" ht="19.899999999999999" customHeight="1">
      <c r="A11" s="3" t="s">
        <v>39</v>
      </c>
      <c r="B11" s="3" t="s">
        <v>40</v>
      </c>
      <c r="C11" s="3" t="s">
        <v>10</v>
      </c>
      <c r="D11" s="2">
        <v>301676190001</v>
      </c>
      <c r="E11" s="4">
        <v>4301676190001</v>
      </c>
      <c r="F11" s="3"/>
      <c r="G11" s="3" t="s">
        <v>26</v>
      </c>
      <c r="H11" s="3" t="s">
        <v>14</v>
      </c>
    </row>
    <row r="12" spans="1:8" ht="19.899999999999999" customHeight="1">
      <c r="A12" s="3" t="s">
        <v>41</v>
      </c>
      <c r="B12" s="3" t="s">
        <v>42</v>
      </c>
      <c r="C12" s="3" t="s">
        <v>10</v>
      </c>
      <c r="D12" s="2" t="s">
        <v>43</v>
      </c>
      <c r="E12" s="4" t="s">
        <v>44</v>
      </c>
      <c r="F12" s="3"/>
      <c r="G12" s="3" t="s">
        <v>26</v>
      </c>
      <c r="H12" s="3" t="s">
        <v>14</v>
      </c>
    </row>
    <row r="13" spans="1:8" ht="19.899999999999999" customHeight="1">
      <c r="A13" s="3" t="s">
        <v>45</v>
      </c>
      <c r="B13" s="3" t="s">
        <v>46</v>
      </c>
      <c r="C13" s="3"/>
      <c r="D13" s="2" t="s">
        <v>47</v>
      </c>
      <c r="E13" s="4" t="s">
        <v>48</v>
      </c>
      <c r="F13" s="3"/>
      <c r="G13" s="3" t="s">
        <v>26</v>
      </c>
      <c r="H13" s="3" t="s">
        <v>14</v>
      </c>
    </row>
    <row r="14" spans="1:8" ht="19.899999999999999" customHeight="1">
      <c r="A14" s="3" t="s">
        <v>49</v>
      </c>
      <c r="B14" s="3" t="s">
        <v>50</v>
      </c>
      <c r="C14" s="3" t="s">
        <v>51</v>
      </c>
      <c r="D14" s="2" t="s">
        <v>52</v>
      </c>
      <c r="E14" s="4" t="s">
        <v>53</v>
      </c>
      <c r="F14" s="3"/>
      <c r="G14" s="3" t="s">
        <v>26</v>
      </c>
      <c r="H14" s="3" t="s">
        <v>54</v>
      </c>
    </row>
    <row r="15" spans="1:8" ht="19.899999999999999" customHeight="1">
      <c r="A15" s="3" t="s">
        <v>55</v>
      </c>
      <c r="B15" s="3" t="s">
        <v>56</v>
      </c>
      <c r="C15" s="3" t="s">
        <v>57</v>
      </c>
      <c r="D15" s="2">
        <v>507894200008</v>
      </c>
      <c r="E15" s="4">
        <v>4507894200008</v>
      </c>
      <c r="F15" s="3">
        <v>20</v>
      </c>
      <c r="G15" s="3" t="s">
        <v>26</v>
      </c>
      <c r="H15" s="3" t="s">
        <v>58</v>
      </c>
    </row>
    <row r="16" spans="1:8" ht="19.899999999999999" customHeight="1">
      <c r="A16" s="3" t="s">
        <v>59</v>
      </c>
      <c r="B16" s="3" t="s">
        <v>9</v>
      </c>
      <c r="C16" s="3" t="s">
        <v>10</v>
      </c>
      <c r="D16" s="2" t="s">
        <v>11</v>
      </c>
      <c r="E16" s="4" t="s">
        <v>12</v>
      </c>
      <c r="F16" s="3"/>
      <c r="G16" s="3" t="s">
        <v>13</v>
      </c>
      <c r="H16" s="3" t="s">
        <v>14</v>
      </c>
    </row>
    <row r="17" spans="1:9" ht="19.899999999999999" customHeight="1">
      <c r="A17" s="3" t="s">
        <v>60</v>
      </c>
      <c r="B17" s="3" t="s">
        <v>61</v>
      </c>
      <c r="C17" s="3" t="s">
        <v>10</v>
      </c>
      <c r="D17" s="2" t="s">
        <v>62</v>
      </c>
      <c r="E17" s="4" t="s">
        <v>63</v>
      </c>
      <c r="F17" s="3"/>
      <c r="G17" s="3" t="s">
        <v>26</v>
      </c>
      <c r="H17" s="3" t="s">
        <v>14</v>
      </c>
    </row>
    <row r="18" spans="1:9" ht="19.899999999999999" customHeight="1">
      <c r="A18" s="3" t="s">
        <v>64</v>
      </c>
      <c r="B18" s="3" t="s">
        <v>65</v>
      </c>
      <c r="C18" s="3" t="s">
        <v>66</v>
      </c>
      <c r="D18" s="2" t="s">
        <v>67</v>
      </c>
      <c r="E18" s="4" t="s">
        <v>68</v>
      </c>
      <c r="F18" s="3"/>
      <c r="G18" s="3" t="s">
        <v>69</v>
      </c>
      <c r="H18" s="3" t="s">
        <v>14</v>
      </c>
    </row>
    <row r="19" spans="1:9" ht="19.899999999999999" customHeight="1">
      <c r="A19" s="3" t="s">
        <v>70</v>
      </c>
      <c r="B19" s="3" t="s">
        <v>71</v>
      </c>
      <c r="C19" s="3" t="s">
        <v>72</v>
      </c>
      <c r="D19" s="2" t="s">
        <v>73</v>
      </c>
      <c r="E19" s="4" t="s">
        <v>74</v>
      </c>
      <c r="F19" s="3"/>
      <c r="G19" s="3" t="s">
        <v>26</v>
      </c>
      <c r="H19" s="3" t="s">
        <v>14</v>
      </c>
    </row>
    <row r="20" spans="1:9" ht="19.899999999999999" customHeight="1">
      <c r="A20" s="3" t="s">
        <v>75</v>
      </c>
      <c r="B20" s="3" t="s">
        <v>76</v>
      </c>
      <c r="C20" s="3" t="s">
        <v>66</v>
      </c>
      <c r="D20" s="2" t="s">
        <v>77</v>
      </c>
      <c r="E20" s="4" t="s">
        <v>78</v>
      </c>
      <c r="F20" s="3"/>
      <c r="G20" s="3" t="s">
        <v>26</v>
      </c>
      <c r="H20" s="3" t="s">
        <v>14</v>
      </c>
    </row>
    <row r="21" spans="1:9" ht="19.899999999999999" customHeight="1">
      <c r="A21" s="3" t="s">
        <v>79</v>
      </c>
      <c r="B21" s="3" t="s">
        <v>17</v>
      </c>
      <c r="C21" s="3" t="s">
        <v>66</v>
      </c>
      <c r="D21" s="2">
        <v>209253450003</v>
      </c>
      <c r="E21" s="4">
        <v>4209253450003</v>
      </c>
      <c r="F21" s="3"/>
      <c r="G21" s="3" t="s">
        <v>13</v>
      </c>
      <c r="H21" s="3" t="s">
        <v>14</v>
      </c>
    </row>
    <row r="22" spans="1:9" ht="19.899999999999999" customHeight="1">
      <c r="A22" s="3" t="s">
        <v>80</v>
      </c>
      <c r="B22" s="3" t="s">
        <v>81</v>
      </c>
      <c r="C22" s="3" t="s">
        <v>66</v>
      </c>
      <c r="D22" s="2" t="s">
        <v>82</v>
      </c>
      <c r="E22" s="4" t="s">
        <v>83</v>
      </c>
      <c r="F22" s="3"/>
      <c r="G22" s="3" t="s">
        <v>26</v>
      </c>
      <c r="H22" s="3" t="s">
        <v>14</v>
      </c>
    </row>
    <row r="23" spans="1:9" ht="19.899999999999999" customHeight="1">
      <c r="A23" s="3" t="s">
        <v>84</v>
      </c>
      <c r="B23" s="3" t="s">
        <v>85</v>
      </c>
      <c r="C23" s="3" t="s">
        <v>66</v>
      </c>
      <c r="D23" s="2" t="s">
        <v>86</v>
      </c>
      <c r="E23" s="4" t="s">
        <v>87</v>
      </c>
      <c r="F23" s="3"/>
      <c r="G23" s="3" t="s">
        <v>26</v>
      </c>
      <c r="H23" s="3" t="s">
        <v>14</v>
      </c>
    </row>
    <row r="24" spans="1:9" ht="19.899999999999999" customHeight="1">
      <c r="A24" s="3" t="s">
        <v>88</v>
      </c>
      <c r="B24" s="3" t="s">
        <v>89</v>
      </c>
      <c r="C24" s="3" t="s">
        <v>10</v>
      </c>
      <c r="D24" s="2" t="s">
        <v>90</v>
      </c>
      <c r="E24" s="4" t="s">
        <v>91</v>
      </c>
      <c r="F24" s="3"/>
      <c r="G24" s="3" t="s">
        <v>26</v>
      </c>
      <c r="H24" s="3" t="s">
        <v>14</v>
      </c>
    </row>
    <row r="25" spans="1:9" ht="19.899999999999999" customHeight="1">
      <c r="A25" s="3" t="s">
        <v>92</v>
      </c>
      <c r="B25" s="3" t="s">
        <v>93</v>
      </c>
      <c r="C25" s="3" t="s">
        <v>10</v>
      </c>
      <c r="D25" s="2">
        <v>301174760009</v>
      </c>
      <c r="E25" s="2">
        <v>4301174760009</v>
      </c>
      <c r="G25" s="3" t="s">
        <v>26</v>
      </c>
      <c r="H25" s="3" t="s">
        <v>14</v>
      </c>
    </row>
    <row r="26" spans="1:9" ht="19.899999999999999" customHeight="1" thickBot="1">
      <c r="A26" s="3" t="s">
        <v>94</v>
      </c>
      <c r="B26" s="160" t="s">
        <v>95</v>
      </c>
      <c r="C26" s="3" t="s">
        <v>10</v>
      </c>
      <c r="D26" s="2">
        <v>200442500006</v>
      </c>
      <c r="E26" s="2">
        <v>4200442500006</v>
      </c>
      <c r="G26" s="3" t="s">
        <v>69</v>
      </c>
      <c r="H26" s="3" t="s">
        <v>14</v>
      </c>
    </row>
    <row r="27" spans="1:9" ht="19.899999999999999" customHeight="1">
      <c r="A27" s="3" t="s">
        <v>96</v>
      </c>
      <c r="B27" s="3" t="s">
        <v>97</v>
      </c>
      <c r="C27" s="3" t="s">
        <v>10</v>
      </c>
      <c r="D27" s="2">
        <v>200019090004</v>
      </c>
      <c r="E27" s="2">
        <v>4200019090004</v>
      </c>
      <c r="G27" s="3" t="s">
        <v>26</v>
      </c>
      <c r="H27" s="3" t="s">
        <v>14</v>
      </c>
    </row>
    <row r="28" spans="1:9" ht="19.899999999999999" customHeight="1">
      <c r="A28" s="3" t="s">
        <v>98</v>
      </c>
      <c r="B28" s="3" t="s">
        <v>99</v>
      </c>
      <c r="C28" s="3" t="s">
        <v>100</v>
      </c>
      <c r="D28" s="2">
        <v>400828750006</v>
      </c>
      <c r="E28" s="2">
        <v>2400828750006</v>
      </c>
      <c r="G28" s="3" t="s">
        <v>69</v>
      </c>
      <c r="H28" s="3" t="s">
        <v>101</v>
      </c>
    </row>
    <row r="29" spans="1:9" ht="19.899999999999999" customHeight="1">
      <c r="A29" s="3" t="s">
        <v>102</v>
      </c>
      <c r="B29" s="3" t="s">
        <v>103</v>
      </c>
      <c r="C29" s="3" t="s">
        <v>10</v>
      </c>
      <c r="E29" s="2">
        <v>4202967550015</v>
      </c>
      <c r="G29" s="3" t="s">
        <v>104</v>
      </c>
      <c r="H29" s="3" t="s">
        <v>14</v>
      </c>
      <c r="I29" t="s">
        <v>105</v>
      </c>
    </row>
    <row r="30" spans="1:9" ht="19.899999999999999" customHeight="1">
      <c r="A30" t="s">
        <v>106</v>
      </c>
      <c r="B30" t="s">
        <v>107</v>
      </c>
      <c r="C30" t="s">
        <v>108</v>
      </c>
      <c r="D30" s="2">
        <v>200023870006</v>
      </c>
      <c r="E30" s="2">
        <v>4200023870006</v>
      </c>
      <c r="G30" s="3" t="s">
        <v>69</v>
      </c>
      <c r="H30" t="s">
        <v>109</v>
      </c>
    </row>
    <row r="31" spans="1:9" ht="19.899999999999999" customHeight="1">
      <c r="A31" t="s">
        <v>110</v>
      </c>
      <c r="B31" t="s">
        <v>111</v>
      </c>
      <c r="C31" t="s">
        <v>112</v>
      </c>
      <c r="D31" s="2">
        <v>227019830003</v>
      </c>
      <c r="E31" s="2">
        <v>4227019830003</v>
      </c>
      <c r="G31" s="3" t="s">
        <v>69</v>
      </c>
      <c r="H31" t="s">
        <v>113</v>
      </c>
    </row>
    <row r="32" spans="1:9" ht="19.899999999999999" customHeight="1">
      <c r="A32" s="3" t="s">
        <v>114</v>
      </c>
      <c r="B32" s="3" t="s">
        <v>115</v>
      </c>
      <c r="C32" s="3" t="s">
        <v>116</v>
      </c>
      <c r="D32" s="2">
        <v>501584200000</v>
      </c>
      <c r="E32" s="2">
        <v>4501584200000</v>
      </c>
      <c r="G32" s="3" t="s">
        <v>26</v>
      </c>
      <c r="H32" s="3" t="s">
        <v>116</v>
      </c>
    </row>
    <row r="33" spans="1:9" ht="19.899999999999999" customHeight="1">
      <c r="A33" s="3" t="s">
        <v>117</v>
      </c>
      <c r="B33" s="3" t="s">
        <v>118</v>
      </c>
      <c r="C33" s="3" t="s">
        <v>116</v>
      </c>
      <c r="E33" s="2">
        <v>4404706890007</v>
      </c>
      <c r="G33" s="3" t="s">
        <v>26</v>
      </c>
      <c r="H33" s="3" t="s">
        <v>116</v>
      </c>
      <c r="I33" t="s">
        <v>105</v>
      </c>
    </row>
    <row r="34" spans="1:9" ht="19.899999999999999" customHeight="1">
      <c r="A34" s="3" t="s">
        <v>119</v>
      </c>
      <c r="B34" s="167" t="s">
        <v>120</v>
      </c>
      <c r="C34" t="s">
        <v>66</v>
      </c>
      <c r="D34" s="2">
        <v>209807020006</v>
      </c>
      <c r="E34" s="2">
        <v>4209807020006</v>
      </c>
      <c r="G34" t="s">
        <v>104</v>
      </c>
      <c r="H34" t="s">
        <v>14</v>
      </c>
    </row>
    <row r="35" spans="1:9" ht="19.899999999999999" customHeight="1"/>
    <row r="36" spans="1:9" ht="19.899999999999999" customHeight="1"/>
    <row r="37" spans="1:9" ht="19.899999999999999" customHeight="1"/>
    <row r="38" spans="1:9" ht="19.899999999999999" customHeight="1"/>
    <row r="39" spans="1:9" ht="19.899999999999999" customHeight="1"/>
    <row r="40" spans="1:9" ht="19.899999999999999" customHeight="1"/>
    <row r="41" spans="1:9" ht="19.899999999999999" customHeight="1"/>
    <row r="42" spans="1:9" ht="19.899999999999999" customHeight="1"/>
    <row r="43" spans="1:9" ht="19.899999999999999" customHeight="1"/>
    <row r="44" spans="1:9" ht="19.899999999999999" customHeight="1"/>
    <row r="45" spans="1:9" ht="19.899999999999999" customHeight="1"/>
    <row r="46" spans="1:9" ht="19.899999999999999" customHeight="1"/>
    <row r="47" spans="1:9" ht="19.899999999999999" customHeight="1"/>
    <row r="48" spans="1:9" ht="19.899999999999999" customHeight="1"/>
    <row r="49" ht="19.899999999999999" customHeight="1"/>
    <row r="50" ht="19.899999999999999" customHeight="1"/>
    <row r="51" ht="19.899999999999999" customHeight="1"/>
    <row r="52" ht="19.899999999999999" customHeight="1"/>
    <row r="53" ht="19.899999999999999" customHeight="1"/>
    <row r="54" ht="19.899999999999999" customHeight="1"/>
    <row r="55" ht="19.899999999999999" customHeight="1"/>
    <row r="56" ht="19.899999999999999" customHeight="1"/>
    <row r="57" ht="19.899999999999999" customHeight="1"/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DC5B-8AE2-4E83-BDA4-F9F7E7A8AFBE}">
  <dimension ref="A1:K103"/>
  <sheetViews>
    <sheetView workbookViewId="0">
      <selection activeCell="B14" sqref="B14"/>
    </sheetView>
  </sheetViews>
  <sheetFormatPr defaultRowHeight="14.45"/>
  <cols>
    <col min="1" max="2" width="21" customWidth="1"/>
    <col min="3" max="9" width="13.7109375" customWidth="1"/>
    <col min="10" max="10" width="17.85546875" customWidth="1"/>
    <col min="11" max="11" width="8.28515625" customWidth="1"/>
  </cols>
  <sheetData>
    <row r="1" spans="1:11" ht="21">
      <c r="A1" t="s">
        <v>9</v>
      </c>
      <c r="B1" t="s">
        <v>8</v>
      </c>
      <c r="C1">
        <v>1107</v>
      </c>
      <c r="D1">
        <v>22064</v>
      </c>
      <c r="E1">
        <v>281.41000000000003</v>
      </c>
      <c r="F1">
        <v>47.84</v>
      </c>
      <c r="G1" s="1">
        <v>329.25</v>
      </c>
      <c r="H1" s="154">
        <v>44594</v>
      </c>
      <c r="J1" s="166" t="s">
        <v>121</v>
      </c>
      <c r="K1" s="166">
        <v>2202</v>
      </c>
    </row>
    <row r="2" spans="1:11">
      <c r="A2" t="s">
        <v>9</v>
      </c>
      <c r="B2" t="s">
        <v>15</v>
      </c>
      <c r="C2">
        <v>1108</v>
      </c>
      <c r="D2">
        <v>22065</v>
      </c>
      <c r="E2">
        <v>46.56</v>
      </c>
      <c r="F2">
        <v>7.92</v>
      </c>
      <c r="G2" s="1">
        <v>54.48</v>
      </c>
      <c r="H2" s="154">
        <v>44594</v>
      </c>
    </row>
    <row r="3" spans="1:11">
      <c r="A3" t="s">
        <v>17</v>
      </c>
      <c r="B3" t="s">
        <v>16</v>
      </c>
      <c r="C3">
        <v>1109</v>
      </c>
      <c r="D3">
        <v>22066</v>
      </c>
      <c r="E3">
        <v>165.2</v>
      </c>
      <c r="F3">
        <v>28.08</v>
      </c>
      <c r="G3" s="1">
        <v>193.28</v>
      </c>
      <c r="H3" s="154">
        <v>44594</v>
      </c>
    </row>
    <row r="4" spans="1:11">
      <c r="A4" t="s">
        <v>17</v>
      </c>
      <c r="B4" t="s">
        <v>20</v>
      </c>
      <c r="C4">
        <v>1110</v>
      </c>
      <c r="D4">
        <v>22067</v>
      </c>
      <c r="E4">
        <v>36.71</v>
      </c>
      <c r="F4">
        <v>6.24</v>
      </c>
      <c r="G4" s="1">
        <v>42.95</v>
      </c>
      <c r="H4" s="154">
        <v>44594</v>
      </c>
    </row>
    <row r="5" spans="1:11">
      <c r="A5" t="s">
        <v>56</v>
      </c>
      <c r="B5" t="s">
        <v>55</v>
      </c>
      <c r="C5">
        <v>1111</v>
      </c>
      <c r="D5">
        <v>22068</v>
      </c>
      <c r="E5">
        <v>11.96</v>
      </c>
      <c r="F5">
        <v>2.0299999999999998</v>
      </c>
      <c r="G5" s="1">
        <v>13.99</v>
      </c>
      <c r="H5" s="154">
        <v>44594</v>
      </c>
    </row>
    <row r="6" spans="1:11">
      <c r="A6" t="s">
        <v>17</v>
      </c>
      <c r="B6" t="s">
        <v>79</v>
      </c>
      <c r="C6">
        <v>1112</v>
      </c>
      <c r="D6">
        <v>22069</v>
      </c>
      <c r="E6">
        <v>166.03</v>
      </c>
      <c r="F6">
        <v>28.23</v>
      </c>
      <c r="G6" s="1">
        <v>194.26</v>
      </c>
      <c r="H6" s="154">
        <v>44594</v>
      </c>
    </row>
    <row r="7" spans="1:11">
      <c r="A7" t="s">
        <v>56</v>
      </c>
      <c r="B7" t="s">
        <v>55</v>
      </c>
      <c r="C7">
        <v>1113</v>
      </c>
      <c r="D7">
        <v>22070</v>
      </c>
      <c r="E7">
        <v>47.57</v>
      </c>
      <c r="F7">
        <v>8.09</v>
      </c>
      <c r="G7" s="1">
        <v>55.66</v>
      </c>
      <c r="H7" s="154">
        <v>44594</v>
      </c>
    </row>
    <row r="8" spans="1:11">
      <c r="A8" t="s">
        <v>71</v>
      </c>
      <c r="B8" t="s">
        <v>70</v>
      </c>
      <c r="C8">
        <v>1114</v>
      </c>
      <c r="D8">
        <v>22071</v>
      </c>
      <c r="E8">
        <v>18.920000000000002</v>
      </c>
      <c r="F8">
        <v>3.22</v>
      </c>
      <c r="G8" s="1">
        <v>22.14</v>
      </c>
      <c r="H8" s="154">
        <v>44594</v>
      </c>
    </row>
    <row r="9" spans="1:11">
      <c r="A9" t="s">
        <v>40</v>
      </c>
      <c r="B9" t="s">
        <v>39</v>
      </c>
      <c r="C9">
        <v>1115</v>
      </c>
      <c r="D9">
        <v>22072</v>
      </c>
      <c r="E9">
        <v>22.08</v>
      </c>
      <c r="F9">
        <v>3.75</v>
      </c>
      <c r="G9" s="1">
        <v>25.83</v>
      </c>
      <c r="H9" s="154">
        <v>44594</v>
      </c>
    </row>
    <row r="10" spans="1:11">
      <c r="A10" t="s">
        <v>118</v>
      </c>
      <c r="B10" t="s">
        <v>117</v>
      </c>
      <c r="C10">
        <v>1116</v>
      </c>
      <c r="D10">
        <v>22073</v>
      </c>
      <c r="E10">
        <v>45.26</v>
      </c>
      <c r="F10">
        <v>7.69</v>
      </c>
      <c r="G10" s="1">
        <v>52.95</v>
      </c>
      <c r="H10" s="154">
        <v>44594</v>
      </c>
    </row>
    <row r="11" spans="1:11">
      <c r="A11" t="s">
        <v>76</v>
      </c>
      <c r="B11" t="s">
        <v>75</v>
      </c>
      <c r="C11">
        <v>1117</v>
      </c>
      <c r="D11">
        <v>22074</v>
      </c>
      <c r="E11">
        <v>52.62</v>
      </c>
      <c r="F11">
        <v>8.9499999999999993</v>
      </c>
      <c r="G11" s="1">
        <v>61.57</v>
      </c>
      <c r="H11" s="154">
        <v>44594</v>
      </c>
    </row>
    <row r="12" spans="1:11">
      <c r="A12" t="s">
        <v>93</v>
      </c>
      <c r="B12" t="s">
        <v>92</v>
      </c>
      <c r="C12">
        <v>1118</v>
      </c>
      <c r="D12">
        <v>22075</v>
      </c>
      <c r="E12">
        <v>35.880000000000003</v>
      </c>
      <c r="F12">
        <v>6.1</v>
      </c>
      <c r="G12" s="1">
        <v>41.98</v>
      </c>
      <c r="H12" s="154">
        <v>44594</v>
      </c>
    </row>
    <row r="13" spans="1:11" ht="15">
      <c r="A13" t="s">
        <v>97</v>
      </c>
      <c r="B13" t="s">
        <v>96</v>
      </c>
      <c r="C13">
        <v>1119</v>
      </c>
      <c r="D13">
        <v>22076</v>
      </c>
      <c r="E13">
        <v>73.599999999999994</v>
      </c>
      <c r="F13">
        <v>12.51</v>
      </c>
      <c r="G13" s="1">
        <v>86.11</v>
      </c>
      <c r="H13" s="154">
        <v>44594</v>
      </c>
    </row>
    <row r="14" spans="1:11" ht="15">
      <c r="A14" t="s">
        <v>103</v>
      </c>
      <c r="B14" t="s">
        <v>102</v>
      </c>
      <c r="C14">
        <v>1120</v>
      </c>
      <c r="D14">
        <v>22077</v>
      </c>
      <c r="E14">
        <v>48.58</v>
      </c>
      <c r="F14">
        <v>8.26</v>
      </c>
      <c r="G14" s="1">
        <v>56.84</v>
      </c>
      <c r="H14" s="154">
        <v>44594</v>
      </c>
    </row>
    <row r="15" spans="1:11" ht="15">
      <c r="A15" t="s">
        <v>61</v>
      </c>
      <c r="B15" t="s">
        <v>60</v>
      </c>
      <c r="C15">
        <v>1121</v>
      </c>
      <c r="D15">
        <v>22078</v>
      </c>
      <c r="E15">
        <v>15.24</v>
      </c>
      <c r="F15">
        <v>2.59</v>
      </c>
      <c r="G15" s="1">
        <v>17.829999999999998</v>
      </c>
      <c r="H15" s="154">
        <v>44594</v>
      </c>
    </row>
    <row r="16" spans="1:11" ht="15">
      <c r="A16" t="s">
        <v>115</v>
      </c>
      <c r="B16" t="s">
        <v>114</v>
      </c>
      <c r="C16">
        <v>1122</v>
      </c>
      <c r="D16">
        <v>22079</v>
      </c>
      <c r="E16">
        <v>22.89</v>
      </c>
      <c r="F16">
        <v>3.89</v>
      </c>
      <c r="G16" s="1">
        <v>26.78</v>
      </c>
      <c r="H16" s="154">
        <v>44594</v>
      </c>
    </row>
    <row r="17" spans="1:8" ht="15">
      <c r="A17" t="s">
        <v>9</v>
      </c>
      <c r="B17" s="3" t="s">
        <v>8</v>
      </c>
      <c r="C17">
        <v>1139</v>
      </c>
      <c r="D17">
        <v>22096</v>
      </c>
      <c r="E17">
        <v>213.68</v>
      </c>
      <c r="F17">
        <v>36.33</v>
      </c>
      <c r="G17">
        <v>250.01</v>
      </c>
      <c r="H17" s="154">
        <v>44601</v>
      </c>
    </row>
    <row r="18" spans="1:8" ht="15">
      <c r="A18" t="s">
        <v>9</v>
      </c>
      <c r="B18" s="3" t="s">
        <v>15</v>
      </c>
      <c r="C18">
        <v>1140</v>
      </c>
      <c r="D18">
        <v>22097</v>
      </c>
      <c r="E18">
        <v>46.56</v>
      </c>
      <c r="F18">
        <v>7.92</v>
      </c>
      <c r="G18">
        <v>54.48</v>
      </c>
      <c r="H18" s="154">
        <v>44601</v>
      </c>
    </row>
    <row r="19" spans="1:8" ht="15">
      <c r="A19" t="s">
        <v>17</v>
      </c>
      <c r="B19" s="3" t="s">
        <v>16</v>
      </c>
      <c r="C19">
        <v>1141</v>
      </c>
      <c r="D19">
        <v>22098</v>
      </c>
      <c r="E19">
        <v>124.01</v>
      </c>
      <c r="F19">
        <v>21.08</v>
      </c>
      <c r="G19">
        <v>145.09</v>
      </c>
      <c r="H19" s="154">
        <v>44601</v>
      </c>
    </row>
    <row r="20" spans="1:8" ht="15">
      <c r="A20" t="s">
        <v>17</v>
      </c>
      <c r="B20" s="3" t="s">
        <v>20</v>
      </c>
      <c r="C20">
        <v>1142</v>
      </c>
      <c r="D20">
        <v>22099</v>
      </c>
      <c r="E20">
        <v>34.6</v>
      </c>
      <c r="F20">
        <v>5.88</v>
      </c>
      <c r="G20">
        <v>40.479999999999997</v>
      </c>
      <c r="H20" s="154">
        <v>44601</v>
      </c>
    </row>
    <row r="21" spans="1:8" ht="15">
      <c r="A21" t="s">
        <v>56</v>
      </c>
      <c r="B21" s="3" t="s">
        <v>55</v>
      </c>
      <c r="C21">
        <v>1143</v>
      </c>
      <c r="D21">
        <v>22100</v>
      </c>
      <c r="E21">
        <v>48.09</v>
      </c>
      <c r="F21">
        <v>8.18</v>
      </c>
      <c r="G21">
        <v>56.27</v>
      </c>
      <c r="H21" s="154">
        <v>44601</v>
      </c>
    </row>
    <row r="22" spans="1:8" ht="15">
      <c r="A22" t="s">
        <v>17</v>
      </c>
      <c r="B22" s="3" t="s">
        <v>79</v>
      </c>
      <c r="C22">
        <v>1144</v>
      </c>
      <c r="D22">
        <v>22101</v>
      </c>
      <c r="E22">
        <v>113.52</v>
      </c>
      <c r="F22">
        <v>19.3</v>
      </c>
      <c r="G22">
        <v>132.82</v>
      </c>
      <c r="H22" s="154">
        <v>44601</v>
      </c>
    </row>
    <row r="23" spans="1:8" ht="15">
      <c r="A23" t="s">
        <v>56</v>
      </c>
      <c r="B23" s="3" t="s">
        <v>55</v>
      </c>
      <c r="C23">
        <v>1145</v>
      </c>
      <c r="D23">
        <v>22102</v>
      </c>
      <c r="E23">
        <v>62.94</v>
      </c>
      <c r="F23">
        <v>10.7</v>
      </c>
      <c r="G23">
        <v>73.64</v>
      </c>
      <c r="H23" s="154">
        <v>44601</v>
      </c>
    </row>
    <row r="24" spans="1:8">
      <c r="A24" t="s">
        <v>71</v>
      </c>
      <c r="B24" s="3" t="s">
        <v>70</v>
      </c>
      <c r="C24">
        <v>1146</v>
      </c>
      <c r="D24">
        <v>22103</v>
      </c>
      <c r="E24">
        <v>18.920000000000002</v>
      </c>
      <c r="F24">
        <v>3.22</v>
      </c>
      <c r="G24">
        <v>22.14</v>
      </c>
      <c r="H24" s="154">
        <v>44601</v>
      </c>
    </row>
    <row r="25" spans="1:8">
      <c r="A25" t="s">
        <v>40</v>
      </c>
      <c r="B25" s="3" t="s">
        <v>39</v>
      </c>
      <c r="C25">
        <v>1147</v>
      </c>
      <c r="D25">
        <v>22104</v>
      </c>
      <c r="E25">
        <v>14.72</v>
      </c>
      <c r="F25">
        <v>2.5</v>
      </c>
      <c r="G25">
        <v>17.22</v>
      </c>
      <c r="H25" s="154">
        <v>44601</v>
      </c>
    </row>
    <row r="26" spans="1:8">
      <c r="A26" t="s">
        <v>118</v>
      </c>
      <c r="B26" s="3" t="s">
        <v>117</v>
      </c>
      <c r="C26">
        <v>1148</v>
      </c>
      <c r="D26">
        <v>22105</v>
      </c>
      <c r="E26">
        <v>67.63</v>
      </c>
      <c r="F26">
        <v>11.5</v>
      </c>
      <c r="G26">
        <v>79.13</v>
      </c>
      <c r="H26" s="154">
        <v>44601</v>
      </c>
    </row>
    <row r="27" spans="1:8">
      <c r="A27" t="s">
        <v>76</v>
      </c>
      <c r="B27" s="3" t="s">
        <v>75</v>
      </c>
      <c r="C27">
        <v>1149</v>
      </c>
      <c r="D27">
        <v>22106</v>
      </c>
      <c r="E27">
        <v>52.62</v>
      </c>
      <c r="F27">
        <v>8.9499999999999993</v>
      </c>
      <c r="G27">
        <v>61.57</v>
      </c>
      <c r="H27" s="154">
        <v>44601</v>
      </c>
    </row>
    <row r="28" spans="1:8">
      <c r="A28" t="s">
        <v>93</v>
      </c>
      <c r="B28" s="3" t="s">
        <v>92</v>
      </c>
      <c r="C28">
        <v>1150</v>
      </c>
      <c r="D28">
        <v>22107</v>
      </c>
      <c r="E28">
        <v>35.880000000000003</v>
      </c>
      <c r="F28">
        <v>6.1</v>
      </c>
      <c r="G28">
        <v>41.98</v>
      </c>
      <c r="H28" s="154">
        <v>44601</v>
      </c>
    </row>
    <row r="29" spans="1:8" ht="15">
      <c r="A29" s="161" t="s">
        <v>97</v>
      </c>
      <c r="B29" s="165" t="s">
        <v>96</v>
      </c>
      <c r="C29" s="161">
        <v>1151</v>
      </c>
      <c r="D29" s="161">
        <v>22108</v>
      </c>
      <c r="E29" s="161">
        <v>73.599999999999994</v>
      </c>
      <c r="F29" s="161">
        <v>12.51</v>
      </c>
      <c r="G29" s="161">
        <v>86.11</v>
      </c>
      <c r="H29" s="162">
        <v>44601</v>
      </c>
    </row>
    <row r="30" spans="1:8" ht="15">
      <c r="A30" s="161" t="s">
        <v>103</v>
      </c>
      <c r="B30" s="165" t="s">
        <v>102</v>
      </c>
      <c r="C30" s="161">
        <v>1152</v>
      </c>
      <c r="D30" s="161">
        <v>22109</v>
      </c>
      <c r="E30" s="161">
        <v>24.29</v>
      </c>
      <c r="F30" s="161">
        <v>4.13</v>
      </c>
      <c r="G30" s="161">
        <v>28.42</v>
      </c>
      <c r="H30" s="162">
        <v>44601</v>
      </c>
    </row>
    <row r="31" spans="1:8" ht="15">
      <c r="A31" s="161" t="s">
        <v>9</v>
      </c>
      <c r="B31" s="165" t="s">
        <v>8</v>
      </c>
      <c r="C31" s="161">
        <v>1137</v>
      </c>
      <c r="D31" s="161">
        <v>22110</v>
      </c>
      <c r="E31" s="161">
        <v>233.7</v>
      </c>
      <c r="F31" s="161">
        <v>39.729999999999997</v>
      </c>
      <c r="G31" s="161">
        <v>273.43</v>
      </c>
      <c r="H31" s="162">
        <v>44608</v>
      </c>
    </row>
    <row r="32" spans="1:8" ht="15">
      <c r="A32" s="161" t="s">
        <v>9</v>
      </c>
      <c r="B32" s="165" t="s">
        <v>15</v>
      </c>
      <c r="C32" s="161">
        <v>1138</v>
      </c>
      <c r="D32" s="161">
        <v>22111</v>
      </c>
      <c r="E32" s="161">
        <v>29.42</v>
      </c>
      <c r="F32" s="161">
        <v>5</v>
      </c>
      <c r="G32" s="161">
        <v>34.42</v>
      </c>
      <c r="H32" s="162">
        <v>44608</v>
      </c>
    </row>
    <row r="33" spans="1:8" ht="15">
      <c r="A33" s="161" t="s">
        <v>17</v>
      </c>
      <c r="B33" s="165" t="s">
        <v>16</v>
      </c>
      <c r="C33" s="161">
        <v>1139</v>
      </c>
      <c r="D33" s="161">
        <v>22112</v>
      </c>
      <c r="E33" s="164">
        <v>193.34</v>
      </c>
      <c r="F33" s="164">
        <v>32.869999999999997</v>
      </c>
      <c r="G33" s="164">
        <v>226.21</v>
      </c>
      <c r="H33" s="162">
        <v>44608</v>
      </c>
    </row>
    <row r="34" spans="1:8" ht="15">
      <c r="A34" s="161" t="s">
        <v>17</v>
      </c>
      <c r="B34" s="165" t="s">
        <v>20</v>
      </c>
      <c r="C34" s="161">
        <v>1140</v>
      </c>
      <c r="D34" s="161">
        <v>22113</v>
      </c>
      <c r="E34" s="161">
        <v>30.06</v>
      </c>
      <c r="F34" s="161">
        <v>5.1100000000000003</v>
      </c>
      <c r="G34" s="161">
        <v>35.17</v>
      </c>
      <c r="H34" s="162">
        <v>44608</v>
      </c>
    </row>
    <row r="35" spans="1:8" ht="15">
      <c r="A35" s="161" t="s">
        <v>56</v>
      </c>
      <c r="B35" s="165" t="s">
        <v>55</v>
      </c>
      <c r="C35" s="161">
        <v>1141</v>
      </c>
      <c r="D35" s="161">
        <v>22114</v>
      </c>
      <c r="E35" s="161">
        <v>14.39</v>
      </c>
      <c r="F35" s="161">
        <v>2.4500000000000002</v>
      </c>
      <c r="G35" s="161">
        <v>16.84</v>
      </c>
      <c r="H35" s="162">
        <v>44608</v>
      </c>
    </row>
    <row r="36" spans="1:8" ht="15">
      <c r="A36" s="161" t="s">
        <v>17</v>
      </c>
      <c r="B36" s="165" t="s">
        <v>79</v>
      </c>
      <c r="C36" s="161">
        <v>1142</v>
      </c>
      <c r="D36" s="163">
        <v>22115</v>
      </c>
      <c r="E36" s="161">
        <v>175.56</v>
      </c>
      <c r="F36" s="161">
        <v>29.85</v>
      </c>
      <c r="G36" s="164">
        <v>205.41</v>
      </c>
      <c r="H36" s="162">
        <v>44608</v>
      </c>
    </row>
    <row r="37" spans="1:8" ht="15">
      <c r="A37" s="161" t="s">
        <v>56</v>
      </c>
      <c r="B37" s="165" t="s">
        <v>55</v>
      </c>
      <c r="C37" s="161">
        <v>1143</v>
      </c>
      <c r="D37" s="161">
        <v>22116</v>
      </c>
      <c r="E37" s="161">
        <v>62.94</v>
      </c>
      <c r="F37" s="161">
        <v>10.7</v>
      </c>
      <c r="G37" s="161">
        <v>73.64</v>
      </c>
      <c r="H37" s="162">
        <v>44608</v>
      </c>
    </row>
    <row r="38" spans="1:8" ht="15">
      <c r="A38" s="161" t="s">
        <v>71</v>
      </c>
      <c r="B38" s="165" t="s">
        <v>70</v>
      </c>
      <c r="C38" s="161">
        <v>1144</v>
      </c>
      <c r="D38" s="161">
        <v>22117</v>
      </c>
      <c r="E38" s="161">
        <v>18.920000000000002</v>
      </c>
      <c r="F38" s="161">
        <v>3.22</v>
      </c>
      <c r="G38" s="161">
        <v>22.14</v>
      </c>
      <c r="H38" s="162">
        <v>44608</v>
      </c>
    </row>
    <row r="39" spans="1:8" ht="15">
      <c r="A39" s="161" t="s">
        <v>40</v>
      </c>
      <c r="B39" s="165" t="s">
        <v>39</v>
      </c>
      <c r="C39" s="161">
        <v>1145</v>
      </c>
      <c r="D39" s="161">
        <v>22118</v>
      </c>
      <c r="E39" s="161">
        <v>18.399999999999999</v>
      </c>
      <c r="F39" s="161">
        <v>3.13</v>
      </c>
      <c r="G39" s="161">
        <v>21.53</v>
      </c>
      <c r="H39" s="162">
        <v>44608</v>
      </c>
    </row>
    <row r="40" spans="1:8">
      <c r="A40" t="s">
        <v>118</v>
      </c>
      <c r="B40" s="3" t="s">
        <v>117</v>
      </c>
      <c r="C40">
        <v>1146</v>
      </c>
      <c r="D40">
        <v>22119</v>
      </c>
      <c r="E40">
        <v>67.63</v>
      </c>
      <c r="F40">
        <v>11.5</v>
      </c>
      <c r="G40">
        <v>79.13</v>
      </c>
      <c r="H40" s="154">
        <v>44608</v>
      </c>
    </row>
    <row r="41" spans="1:8">
      <c r="A41" t="s">
        <v>76</v>
      </c>
      <c r="B41" s="3" t="s">
        <v>75</v>
      </c>
      <c r="C41">
        <v>1152</v>
      </c>
      <c r="D41">
        <v>22120</v>
      </c>
      <c r="E41">
        <v>52.62</v>
      </c>
      <c r="F41">
        <v>8.9499999999999993</v>
      </c>
      <c r="G41">
        <v>61.57</v>
      </c>
      <c r="H41" s="154">
        <v>44608</v>
      </c>
    </row>
    <row r="42" spans="1:8">
      <c r="A42" t="s">
        <v>93</v>
      </c>
      <c r="B42" s="3" t="s">
        <v>92</v>
      </c>
      <c r="C42">
        <v>1148</v>
      </c>
      <c r="D42">
        <v>22121</v>
      </c>
      <c r="E42">
        <v>35.880000000000003</v>
      </c>
      <c r="F42">
        <v>6.1</v>
      </c>
      <c r="G42">
        <v>41.98</v>
      </c>
      <c r="H42" s="154">
        <v>44608</v>
      </c>
    </row>
    <row r="43" spans="1:8">
      <c r="A43" t="s">
        <v>97</v>
      </c>
      <c r="B43" s="3" t="s">
        <v>96</v>
      </c>
      <c r="C43">
        <v>1149</v>
      </c>
      <c r="D43">
        <v>22122</v>
      </c>
      <c r="E43" s="106">
        <v>73.599999999999994</v>
      </c>
      <c r="F43" s="106">
        <v>12.51</v>
      </c>
      <c r="G43" s="106">
        <v>86.11</v>
      </c>
      <c r="H43" s="154">
        <v>44608</v>
      </c>
    </row>
    <row r="44" spans="1:8">
      <c r="A44" t="s">
        <v>103</v>
      </c>
      <c r="B44" s="3" t="s">
        <v>102</v>
      </c>
      <c r="C44">
        <v>1150</v>
      </c>
      <c r="D44">
        <v>22123</v>
      </c>
      <c r="E44">
        <v>24.29</v>
      </c>
      <c r="F44">
        <v>4.13</v>
      </c>
      <c r="G44">
        <v>28.42</v>
      </c>
      <c r="H44" s="154">
        <v>44608</v>
      </c>
    </row>
    <row r="45" spans="1:8">
      <c r="A45" t="s">
        <v>115</v>
      </c>
      <c r="B45" s="3" t="s">
        <v>114</v>
      </c>
      <c r="C45">
        <v>1151</v>
      </c>
      <c r="D45">
        <v>22124</v>
      </c>
      <c r="E45">
        <v>22.37</v>
      </c>
      <c r="F45">
        <v>3.8</v>
      </c>
      <c r="G45">
        <v>26.17</v>
      </c>
      <c r="H45" s="154">
        <v>44608</v>
      </c>
    </row>
    <row r="46" spans="1:8">
      <c r="A46" t="s">
        <v>111</v>
      </c>
      <c r="B46" s="3" t="s">
        <v>110</v>
      </c>
      <c r="C46">
        <v>1153</v>
      </c>
      <c r="D46">
        <v>22125</v>
      </c>
      <c r="E46">
        <v>6468.96</v>
      </c>
      <c r="F46">
        <v>1099.72</v>
      </c>
      <c r="G46">
        <v>7568.68</v>
      </c>
      <c r="H46" s="154">
        <v>44613</v>
      </c>
    </row>
    <row r="47" spans="1:8">
      <c r="A47" t="s">
        <v>9</v>
      </c>
      <c r="B47" s="3" t="s">
        <v>8</v>
      </c>
      <c r="C47">
        <v>1154</v>
      </c>
      <c r="D47">
        <v>22126</v>
      </c>
      <c r="E47">
        <v>295.8</v>
      </c>
      <c r="F47">
        <v>50.29</v>
      </c>
      <c r="G47">
        <v>346.09</v>
      </c>
      <c r="H47" s="154">
        <v>44615</v>
      </c>
    </row>
    <row r="48" spans="1:8">
      <c r="A48" t="s">
        <v>9</v>
      </c>
      <c r="B48" s="3" t="s">
        <v>15</v>
      </c>
      <c r="C48">
        <v>1155</v>
      </c>
      <c r="D48">
        <v>22127</v>
      </c>
      <c r="E48">
        <v>46.88</v>
      </c>
      <c r="F48">
        <v>7.97</v>
      </c>
      <c r="G48">
        <v>54.85</v>
      </c>
      <c r="H48" s="154">
        <v>44615</v>
      </c>
    </row>
    <row r="49" spans="1:8">
      <c r="A49" t="s">
        <v>17</v>
      </c>
      <c r="B49" s="3" t="s">
        <v>16</v>
      </c>
      <c r="C49">
        <v>1156</v>
      </c>
      <c r="D49">
        <v>22128</v>
      </c>
      <c r="E49">
        <v>143.38999999999999</v>
      </c>
      <c r="F49">
        <v>24.38</v>
      </c>
      <c r="G49">
        <v>167.77</v>
      </c>
      <c r="H49" s="154">
        <v>44615</v>
      </c>
    </row>
    <row r="50" spans="1:8">
      <c r="A50" t="s">
        <v>17</v>
      </c>
      <c r="B50" s="3" t="s">
        <v>20</v>
      </c>
      <c r="C50">
        <v>1157</v>
      </c>
      <c r="D50">
        <v>22129</v>
      </c>
      <c r="E50">
        <v>32.17</v>
      </c>
      <c r="F50">
        <v>5.47</v>
      </c>
      <c r="G50">
        <v>37.64</v>
      </c>
      <c r="H50" s="154">
        <v>44615</v>
      </c>
    </row>
    <row r="51" spans="1:8">
      <c r="A51" t="s">
        <v>56</v>
      </c>
      <c r="B51" s="3" t="s">
        <v>55</v>
      </c>
      <c r="C51">
        <v>1158</v>
      </c>
      <c r="D51">
        <v>22130</v>
      </c>
      <c r="E51">
        <v>45.55</v>
      </c>
      <c r="F51">
        <v>7.74</v>
      </c>
      <c r="G51">
        <v>53.29</v>
      </c>
      <c r="H51" s="154">
        <v>44615</v>
      </c>
    </row>
    <row r="52" spans="1:8">
      <c r="A52" t="s">
        <v>17</v>
      </c>
      <c r="B52" s="3" t="s">
        <v>79</v>
      </c>
      <c r="C52">
        <v>1159</v>
      </c>
      <c r="D52">
        <v>22131</v>
      </c>
      <c r="E52">
        <v>158.74</v>
      </c>
      <c r="F52">
        <v>26.99</v>
      </c>
      <c r="G52">
        <v>185.73</v>
      </c>
      <c r="H52" s="154">
        <v>44615</v>
      </c>
    </row>
    <row r="53" spans="1:8">
      <c r="A53" t="s">
        <v>56</v>
      </c>
      <c r="B53" s="3" t="s">
        <v>55</v>
      </c>
      <c r="C53">
        <v>1160</v>
      </c>
      <c r="D53">
        <v>22132</v>
      </c>
      <c r="E53">
        <v>47.57</v>
      </c>
      <c r="F53">
        <v>8.09</v>
      </c>
      <c r="G53">
        <v>55.66</v>
      </c>
      <c r="H53" s="154">
        <v>44615</v>
      </c>
    </row>
    <row r="54" spans="1:8">
      <c r="A54" t="s">
        <v>71</v>
      </c>
      <c r="B54" s="3" t="s">
        <v>70</v>
      </c>
      <c r="C54">
        <v>1161</v>
      </c>
      <c r="D54">
        <v>22133</v>
      </c>
      <c r="E54">
        <v>22.6</v>
      </c>
      <c r="F54">
        <v>3.84</v>
      </c>
      <c r="G54">
        <v>26.44</v>
      </c>
      <c r="H54" s="154">
        <v>44615</v>
      </c>
    </row>
    <row r="55" spans="1:8">
      <c r="A55" t="s">
        <v>40</v>
      </c>
      <c r="B55" s="3" t="s">
        <v>39</v>
      </c>
      <c r="C55">
        <v>1162</v>
      </c>
      <c r="D55">
        <v>22134</v>
      </c>
      <c r="E55">
        <v>22.08</v>
      </c>
      <c r="F55">
        <v>3.75</v>
      </c>
      <c r="G55">
        <v>25.83</v>
      </c>
      <c r="H55" s="154">
        <v>44615</v>
      </c>
    </row>
    <row r="56" spans="1:8">
      <c r="A56" t="s">
        <v>118</v>
      </c>
      <c r="B56" s="3" t="s">
        <v>117</v>
      </c>
      <c r="C56">
        <v>1163</v>
      </c>
      <c r="D56">
        <v>22135</v>
      </c>
      <c r="E56">
        <v>67.63</v>
      </c>
      <c r="F56">
        <v>11.5</v>
      </c>
      <c r="G56">
        <v>79.13</v>
      </c>
      <c r="H56" s="154">
        <v>44615</v>
      </c>
    </row>
    <row r="57" spans="1:8">
      <c r="A57" t="s">
        <v>76</v>
      </c>
      <c r="B57" s="3" t="s">
        <v>75</v>
      </c>
      <c r="C57">
        <v>1164</v>
      </c>
      <c r="D57">
        <v>22136</v>
      </c>
      <c r="E57">
        <v>52.62</v>
      </c>
      <c r="F57">
        <v>8.9499999999999993</v>
      </c>
      <c r="G57">
        <v>61.57</v>
      </c>
      <c r="H57" s="154">
        <v>44615</v>
      </c>
    </row>
    <row r="58" spans="1:8" ht="15">
      <c r="A58" t="s">
        <v>93</v>
      </c>
      <c r="B58" s="3" t="s">
        <v>92</v>
      </c>
      <c r="C58">
        <v>1165</v>
      </c>
      <c r="D58">
        <v>22137</v>
      </c>
      <c r="E58">
        <v>35.880000000000003</v>
      </c>
      <c r="F58">
        <v>6.1</v>
      </c>
      <c r="G58">
        <v>41.98</v>
      </c>
      <c r="H58" s="154">
        <v>44615</v>
      </c>
    </row>
    <row r="59" spans="1:8" ht="15">
      <c r="A59" t="s">
        <v>97</v>
      </c>
      <c r="B59" s="3" t="s">
        <v>96</v>
      </c>
      <c r="C59">
        <v>1166</v>
      </c>
      <c r="D59">
        <v>22138</v>
      </c>
      <c r="E59">
        <v>73.599999999999994</v>
      </c>
      <c r="F59">
        <v>12.51</v>
      </c>
      <c r="G59">
        <v>86.11</v>
      </c>
      <c r="H59" s="154">
        <v>44615</v>
      </c>
    </row>
    <row r="60" spans="1:8" ht="15">
      <c r="A60" t="s">
        <v>103</v>
      </c>
      <c r="B60" s="3" t="s">
        <v>102</v>
      </c>
      <c r="C60">
        <v>1167</v>
      </c>
      <c r="D60">
        <v>22139</v>
      </c>
      <c r="E60">
        <v>24.29</v>
      </c>
      <c r="F60">
        <v>4.13</v>
      </c>
      <c r="G60">
        <v>28.42</v>
      </c>
      <c r="H60" s="154">
        <v>44615</v>
      </c>
    </row>
    <row r="61" spans="1:8" ht="15">
      <c r="A61" t="s">
        <v>115</v>
      </c>
      <c r="B61" s="3" t="s">
        <v>114</v>
      </c>
      <c r="C61">
        <v>1168</v>
      </c>
      <c r="D61">
        <v>22140</v>
      </c>
      <c r="E61">
        <v>22.37</v>
      </c>
      <c r="F61">
        <v>3.8</v>
      </c>
      <c r="G61">
        <v>26.17</v>
      </c>
      <c r="H61" s="154">
        <v>44615</v>
      </c>
    </row>
    <row r="62" spans="1:8" ht="15">
      <c r="A62" s="161"/>
      <c r="B62" s="165"/>
      <c r="C62" s="161"/>
      <c r="D62" s="161"/>
      <c r="E62" s="164"/>
      <c r="F62" s="164"/>
      <c r="G62" s="164"/>
      <c r="H62" s="162"/>
    </row>
    <row r="63" spans="1:8" ht="15">
      <c r="A63" s="161"/>
      <c r="B63" s="165"/>
      <c r="C63" s="161"/>
      <c r="D63" s="161"/>
      <c r="E63" s="161"/>
      <c r="F63" s="161"/>
      <c r="G63" s="161"/>
      <c r="H63" s="162"/>
    </row>
    <row r="64" spans="1:8" ht="15">
      <c r="A64" s="161"/>
      <c r="B64" s="165"/>
      <c r="C64" s="161"/>
      <c r="D64" s="161"/>
      <c r="E64" s="161"/>
      <c r="F64" s="161"/>
      <c r="G64" s="161"/>
      <c r="H64" s="162"/>
    </row>
    <row r="65" spans="1:8" ht="15">
      <c r="A65" s="161"/>
      <c r="B65" s="165"/>
      <c r="C65" s="161"/>
      <c r="D65" s="163"/>
      <c r="E65" s="161"/>
      <c r="F65" s="161"/>
      <c r="G65" s="164"/>
      <c r="H65" s="162"/>
    </row>
    <row r="66" spans="1:8" ht="15">
      <c r="A66" s="161"/>
      <c r="B66" s="165"/>
      <c r="C66" s="161"/>
      <c r="D66" s="161"/>
      <c r="E66" s="161"/>
      <c r="F66" s="161"/>
      <c r="G66" s="161"/>
      <c r="H66" s="162"/>
    </row>
    <row r="67" spans="1:8" ht="15">
      <c r="A67" s="161"/>
      <c r="B67" s="165"/>
      <c r="C67" s="161"/>
      <c r="D67" s="161"/>
      <c r="E67" s="161"/>
      <c r="F67" s="161"/>
      <c r="G67" s="161"/>
      <c r="H67" s="162"/>
    </row>
    <row r="68" spans="1:8" ht="15">
      <c r="A68" s="161"/>
      <c r="B68" s="165"/>
      <c r="C68" s="161"/>
      <c r="D68" s="161"/>
      <c r="E68" s="161"/>
      <c r="F68" s="161"/>
      <c r="G68" s="161"/>
      <c r="H68" s="162"/>
    </row>
    <row r="69" spans="1:8">
      <c r="B69" s="3"/>
      <c r="H69" s="154"/>
    </row>
    <row r="70" spans="1:8">
      <c r="B70" s="3"/>
      <c r="H70" s="154"/>
    </row>
    <row r="71" spans="1:8">
      <c r="B71" s="3"/>
      <c r="H71" s="154"/>
    </row>
    <row r="72" spans="1:8">
      <c r="B72" s="3"/>
      <c r="E72" s="106"/>
      <c r="F72" s="106"/>
      <c r="G72" s="106"/>
      <c r="H72" s="154"/>
    </row>
    <row r="73" spans="1:8">
      <c r="B73" s="3"/>
      <c r="H73" s="154"/>
    </row>
    <row r="74" spans="1:8">
      <c r="B74" s="3"/>
      <c r="H74" s="154"/>
    </row>
    <row r="75" spans="1:8">
      <c r="B75" s="3"/>
      <c r="H75" s="154"/>
    </row>
    <row r="76" spans="1:8">
      <c r="B76" s="3"/>
      <c r="H76" s="154"/>
    </row>
    <row r="77" spans="1:8">
      <c r="B77" s="3"/>
      <c r="H77" s="154"/>
    </row>
    <row r="78" spans="1:8">
      <c r="B78" s="3"/>
      <c r="H78" s="154"/>
    </row>
    <row r="79" spans="1:8">
      <c r="B79" s="3"/>
      <c r="H79" s="154"/>
    </row>
    <row r="80" spans="1:8">
      <c r="B80" s="3"/>
      <c r="H80" s="154"/>
    </row>
    <row r="81" spans="2:8">
      <c r="B81" s="3"/>
      <c r="H81" s="154"/>
    </row>
    <row r="82" spans="2:8">
      <c r="B82" s="3"/>
      <c r="H82" s="154"/>
    </row>
    <row r="83" spans="2:8">
      <c r="B83" s="3"/>
      <c r="H83" s="154"/>
    </row>
    <row r="84" spans="2:8">
      <c r="B84" s="3"/>
      <c r="H84" s="154"/>
    </row>
    <row r="85" spans="2:8">
      <c r="B85" s="3"/>
      <c r="H85" s="154"/>
    </row>
    <row r="86" spans="2:8">
      <c r="B86" s="3"/>
      <c r="H86" s="154"/>
    </row>
    <row r="87" spans="2:8">
      <c r="B87" s="3"/>
      <c r="H87" s="154"/>
    </row>
    <row r="88" spans="2:8">
      <c r="B88" s="3"/>
      <c r="H88" s="154"/>
    </row>
    <row r="89" spans="2:8">
      <c r="B89" s="3"/>
      <c r="H89" s="154"/>
    </row>
    <row r="90" spans="2:8">
      <c r="B90" s="3"/>
      <c r="H90" s="154"/>
    </row>
    <row r="91" spans="2:8">
      <c r="H91" s="154"/>
    </row>
    <row r="92" spans="2:8">
      <c r="H92" s="154"/>
    </row>
    <row r="93" spans="2:8">
      <c r="H93" s="154"/>
    </row>
    <row r="94" spans="2:8">
      <c r="H94" s="154"/>
    </row>
    <row r="95" spans="2:8">
      <c r="H95" s="154"/>
    </row>
    <row r="96" spans="2:8">
      <c r="H96" s="154"/>
    </row>
    <row r="97" spans="8:8">
      <c r="H97" s="154"/>
    </row>
    <row r="98" spans="8:8">
      <c r="H98" s="154"/>
    </row>
    <row r="99" spans="8:8">
      <c r="H99" s="154"/>
    </row>
    <row r="100" spans="8:8">
      <c r="H100" s="154"/>
    </row>
    <row r="101" spans="8:8">
      <c r="H101" s="154"/>
    </row>
    <row r="102" spans="8:8">
      <c r="H102" s="154"/>
    </row>
    <row r="103" spans="8:8">
      <c r="H103" s="154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21F92-8C3E-4554-A874-10A87582D7DF}">
  <dimension ref="A1:U95"/>
  <sheetViews>
    <sheetView tabSelected="1" zoomScale="70" zoomScaleNormal="70" workbookViewId="0">
      <selection activeCell="X13" sqref="X13"/>
    </sheetView>
  </sheetViews>
  <sheetFormatPr defaultRowHeight="14.45"/>
  <cols>
    <col min="6" max="6" width="11.42578125" customWidth="1"/>
    <col min="7" max="7" width="30.7109375" customWidth="1"/>
    <col min="8" max="8" width="16.140625" customWidth="1"/>
    <col min="9" max="9" width="15.7109375" bestFit="1" customWidth="1"/>
    <col min="10" max="10" width="15.85546875" customWidth="1"/>
    <col min="11" max="11" width="9.28515625" bestFit="1" customWidth="1"/>
    <col min="15" max="15" width="9.28515625" bestFit="1" customWidth="1"/>
  </cols>
  <sheetData>
    <row r="1" spans="1:21" s="180" customFormat="1" ht="82.15" thickBot="1">
      <c r="A1" s="171" t="s">
        <v>122</v>
      </c>
      <c r="B1" s="172" t="s">
        <v>123</v>
      </c>
      <c r="C1" s="173" t="s">
        <v>124</v>
      </c>
      <c r="D1" s="172" t="s">
        <v>125</v>
      </c>
      <c r="E1" s="173" t="s">
        <v>126</v>
      </c>
      <c r="F1" s="172" t="s">
        <v>127</v>
      </c>
      <c r="G1" s="174" t="s">
        <v>128</v>
      </c>
      <c r="H1" s="175" t="s">
        <v>129</v>
      </c>
      <c r="I1" s="175" t="s">
        <v>130</v>
      </c>
      <c r="J1" s="176" t="s">
        <v>131</v>
      </c>
      <c r="K1" s="177" t="s">
        <v>132</v>
      </c>
      <c r="L1" s="177" t="s">
        <v>133</v>
      </c>
      <c r="M1" s="178" t="s">
        <v>134</v>
      </c>
      <c r="N1" s="177" t="s">
        <v>135</v>
      </c>
      <c r="O1" s="178" t="s">
        <v>136</v>
      </c>
      <c r="P1" s="177" t="s">
        <v>137</v>
      </c>
      <c r="Q1" s="178" t="s">
        <v>138</v>
      </c>
      <c r="R1" s="177" t="s">
        <v>139</v>
      </c>
      <c r="S1" s="178" t="s">
        <v>140</v>
      </c>
      <c r="T1" s="177" t="s">
        <v>141</v>
      </c>
      <c r="U1" s="179" t="s">
        <v>142</v>
      </c>
    </row>
    <row r="2" spans="1:21">
      <c r="A2" s="151" t="str">
        <f>IF(ISBLANK(B2),"","2")</f>
        <v>2</v>
      </c>
      <c r="B2" s="167">
        <f>'kif to eKif'!$K$1</f>
        <v>2202</v>
      </c>
      <c r="C2" s="167">
        <v>1</v>
      </c>
      <c r="D2" s="168">
        <v>1</v>
      </c>
      <c r="E2" s="167">
        <f>'kif to eKif'!$D1</f>
        <v>22064</v>
      </c>
      <c r="F2" s="169">
        <f>'kif to eKif'!H1</f>
        <v>44594</v>
      </c>
      <c r="G2" s="167" t="str">
        <f>'kif to eKif'!A1</f>
        <v>"Mercator BH" Trgovina na veliko i malo d.o.o. Sarajevo</v>
      </c>
      <c r="H2" t="str">
        <f>VLOOKUP('kif to eKif'!B1,kupciInfoKif,8,)</f>
        <v>Sarajevo</v>
      </c>
      <c r="I2" s="2" t="str">
        <f>VLOOKUP('kif to eKif'!B1,kupciInfoKif,4,)</f>
        <v>200841110009</v>
      </c>
      <c r="J2" s="2" t="str">
        <f>VLOOKUP('kif to eKif'!B1,kupciInfoKif,5,)</f>
        <v>4200841110009</v>
      </c>
      <c r="K2" s="170">
        <f>'kif to eKif'!G1</f>
        <v>329.25</v>
      </c>
      <c r="L2" s="170">
        <v>0</v>
      </c>
      <c r="M2" s="170">
        <v>0</v>
      </c>
      <c r="N2" s="170">
        <v>0</v>
      </c>
      <c r="O2" s="170">
        <f>'kif to eKif'!E1</f>
        <v>281.41000000000003</v>
      </c>
      <c r="P2" s="170">
        <f>'kif to eKif'!F1</f>
        <v>47.84</v>
      </c>
      <c r="Q2" s="170">
        <v>0</v>
      </c>
      <c r="R2" s="170">
        <v>0</v>
      </c>
      <c r="S2" s="170">
        <v>0</v>
      </c>
      <c r="T2" s="170">
        <v>0</v>
      </c>
      <c r="U2" s="170">
        <v>0</v>
      </c>
    </row>
    <row r="3" spans="1:21">
      <c r="A3" s="151" t="str">
        <f t="shared" ref="A3:A66" si="0">IF(ISBLANK(B3),"","2")</f>
        <v>2</v>
      </c>
      <c r="B3" s="167">
        <f>'kif to eKif'!$K$1</f>
        <v>2202</v>
      </c>
      <c r="C3" s="167">
        <v>2</v>
      </c>
      <c r="D3" s="168">
        <v>1</v>
      </c>
      <c r="E3" s="167">
        <f>'kif to eKif'!$D2</f>
        <v>22065</v>
      </c>
      <c r="F3" s="169">
        <f>'kif to eKif'!H2</f>
        <v>44594</v>
      </c>
      <c r="G3" s="167" t="str">
        <f>'kif to eKif'!A2</f>
        <v>"Mercator BH" Trgovina na veliko i malo d.o.o. Sarajevo</v>
      </c>
      <c r="H3" t="str">
        <f>VLOOKUP('kif to eKif'!B2,kupciInfoKif,8,)</f>
        <v>Sarajevo</v>
      </c>
      <c r="I3" s="2" t="str">
        <f>VLOOKUP('kif to eKif'!B2,kupciInfoKif,4,)</f>
        <v>200841110009</v>
      </c>
      <c r="J3" s="2" t="str">
        <f>VLOOKUP('kif to eKif'!B2,kupciInfoKif,5,)</f>
        <v>4200841110009</v>
      </c>
      <c r="K3" s="170">
        <f>'kif to eKif'!G2</f>
        <v>54.48</v>
      </c>
      <c r="L3" s="170">
        <v>0</v>
      </c>
      <c r="M3" s="170">
        <v>0</v>
      </c>
      <c r="N3" s="170">
        <v>0</v>
      </c>
      <c r="O3" s="170">
        <f>'kif to eKif'!E2</f>
        <v>46.56</v>
      </c>
      <c r="P3" s="170">
        <f>'kif to eKif'!F2</f>
        <v>7.92</v>
      </c>
      <c r="Q3" s="170">
        <v>0</v>
      </c>
      <c r="R3" s="170">
        <v>0</v>
      </c>
      <c r="S3" s="170">
        <v>0</v>
      </c>
      <c r="T3" s="170">
        <v>0</v>
      </c>
      <c r="U3" s="170">
        <v>0</v>
      </c>
    </row>
    <row r="4" spans="1:21">
      <c r="A4" s="151" t="str">
        <f t="shared" si="0"/>
        <v>2</v>
      </c>
      <c r="B4" s="167">
        <f>'kif to eKif'!$K$1</f>
        <v>2202</v>
      </c>
      <c r="C4" s="167">
        <v>3</v>
      </c>
      <c r="D4" s="168">
        <v>1</v>
      </c>
      <c r="E4" s="167">
        <f>'kif to eKif'!$D3</f>
        <v>22066</v>
      </c>
      <c r="F4" s="169">
        <f>'kif to eKif'!H3</f>
        <v>44594</v>
      </c>
      <c r="G4" s="167" t="str">
        <f>'kif to eKif'!A3</f>
        <v>BINGO d.o.o. Tuzla</v>
      </c>
      <c r="H4" t="str">
        <f>VLOOKUP('kif to eKif'!B3,kupciInfoKif,8,)</f>
        <v>Tuzla</v>
      </c>
      <c r="I4" s="2">
        <f>VLOOKUP('kif to eKif'!B3,kupciInfoKif,4,)</f>
        <v>209253450003</v>
      </c>
      <c r="J4" s="2">
        <f>VLOOKUP('kif to eKif'!B3,kupciInfoKif,5,)</f>
        <v>4209253450003</v>
      </c>
      <c r="K4" s="170">
        <f>'kif to eKif'!G3</f>
        <v>193.28</v>
      </c>
      <c r="L4" s="170">
        <v>0</v>
      </c>
      <c r="M4" s="170">
        <v>0</v>
      </c>
      <c r="N4" s="170">
        <v>0</v>
      </c>
      <c r="O4" s="170">
        <f>'kif to eKif'!E3</f>
        <v>165.2</v>
      </c>
      <c r="P4" s="170">
        <f>'kif to eKif'!F3</f>
        <v>28.08</v>
      </c>
      <c r="Q4" s="170">
        <v>0</v>
      </c>
      <c r="R4" s="170">
        <v>0</v>
      </c>
      <c r="S4" s="170">
        <v>0</v>
      </c>
      <c r="T4" s="170">
        <v>0</v>
      </c>
      <c r="U4" s="170">
        <v>0</v>
      </c>
    </row>
    <row r="5" spans="1:21">
      <c r="A5" s="151" t="str">
        <f t="shared" si="0"/>
        <v>2</v>
      </c>
      <c r="B5" s="167">
        <f>'kif to eKif'!$K$1</f>
        <v>2202</v>
      </c>
      <c r="C5" s="167">
        <v>4</v>
      </c>
      <c r="D5" s="168">
        <v>1</v>
      </c>
      <c r="E5" s="167">
        <f>'kif to eKif'!$D4</f>
        <v>22067</v>
      </c>
      <c r="F5" s="169">
        <f>'kif to eKif'!H4</f>
        <v>44594</v>
      </c>
      <c r="G5" s="167" t="str">
        <f>'kif to eKif'!A4</f>
        <v>BINGO d.o.o. Tuzla</v>
      </c>
      <c r="H5" t="str">
        <f>VLOOKUP('kif to eKif'!B4,kupciInfoKif,8,)</f>
        <v>Tuzla</v>
      </c>
      <c r="I5" s="2">
        <f>VLOOKUP('kif to eKif'!B4,kupciInfoKif,4,)</f>
        <v>209253450003</v>
      </c>
      <c r="J5" s="2">
        <f>VLOOKUP('kif to eKif'!B4,kupciInfoKif,5,)</f>
        <v>4209253450003</v>
      </c>
      <c r="K5" s="170">
        <f>'kif to eKif'!G4</f>
        <v>42.95</v>
      </c>
      <c r="L5" s="170">
        <v>0</v>
      </c>
      <c r="M5" s="170">
        <v>0</v>
      </c>
      <c r="N5" s="170">
        <v>0</v>
      </c>
      <c r="O5" s="170">
        <f>'kif to eKif'!E4</f>
        <v>36.71</v>
      </c>
      <c r="P5" s="170">
        <f>'kif to eKif'!F4</f>
        <v>6.24</v>
      </c>
      <c r="Q5" s="170">
        <v>0</v>
      </c>
      <c r="R5" s="170">
        <v>0</v>
      </c>
      <c r="S5" s="170">
        <v>0</v>
      </c>
      <c r="T5" s="170">
        <v>0</v>
      </c>
      <c r="U5" s="170">
        <v>0</v>
      </c>
    </row>
    <row r="6" spans="1:21">
      <c r="A6" s="151" t="str">
        <f t="shared" si="0"/>
        <v>2</v>
      </c>
      <c r="B6" s="167">
        <f>'kif to eKif'!$K$1</f>
        <v>2202</v>
      </c>
      <c r="C6" s="167">
        <v>5</v>
      </c>
      <c r="D6" s="168">
        <v>1</v>
      </c>
      <c r="E6" s="167">
        <f>'kif to eKif'!$D5</f>
        <v>22068</v>
      </c>
      <c r="F6" s="169">
        <f>'kif to eKif'!H5</f>
        <v>44594</v>
      </c>
      <c r="G6" s="167" t="str">
        <f>'kif to eKif'!A5</f>
        <v>Zelenara trgovinska radnja</v>
      </c>
      <c r="H6" t="str">
        <f>VLOOKUP('kif to eKif'!B5,kupciInfoKif,8,)</f>
        <v>I.Sarajevo</v>
      </c>
      <c r="I6" s="2">
        <f>VLOOKUP('kif to eKif'!B5,kupciInfoKif,4,)</f>
        <v>507894200008</v>
      </c>
      <c r="J6" s="2">
        <f>VLOOKUP('kif to eKif'!B5,kupciInfoKif,5,)</f>
        <v>4507894200008</v>
      </c>
      <c r="K6" s="170">
        <f>'kif to eKif'!G5</f>
        <v>13.99</v>
      </c>
      <c r="L6" s="170">
        <v>0</v>
      </c>
      <c r="M6" s="170">
        <v>0</v>
      </c>
      <c r="N6" s="170">
        <v>0</v>
      </c>
      <c r="O6" s="170">
        <f>'kif to eKif'!E5</f>
        <v>11.96</v>
      </c>
      <c r="P6" s="170">
        <f>'kif to eKif'!F5</f>
        <v>2.0299999999999998</v>
      </c>
      <c r="Q6" s="170">
        <v>0</v>
      </c>
      <c r="R6" s="170">
        <v>0</v>
      </c>
      <c r="S6" s="170">
        <v>0</v>
      </c>
      <c r="T6" s="170">
        <v>0</v>
      </c>
      <c r="U6" s="170">
        <v>0</v>
      </c>
    </row>
    <row r="7" spans="1:21">
      <c r="A7" s="151" t="str">
        <f t="shared" si="0"/>
        <v>2</v>
      </c>
      <c r="B7" s="167">
        <f>'kif to eKif'!$K$1</f>
        <v>2202</v>
      </c>
      <c r="C7" s="167">
        <v>6</v>
      </c>
      <c r="D7" s="168">
        <v>1</v>
      </c>
      <c r="E7" s="167">
        <f>'kif to eKif'!$D6</f>
        <v>22069</v>
      </c>
      <c r="F7" s="169">
        <f>'kif to eKif'!H6</f>
        <v>44594</v>
      </c>
      <c r="G7" s="167" t="str">
        <f>'kif to eKif'!A6</f>
        <v>BINGO d.o.o. Tuzla</v>
      </c>
      <c r="H7" t="str">
        <f>VLOOKUP('kif to eKif'!B6,kupciInfoKif,8,)</f>
        <v>Sarajevo</v>
      </c>
      <c r="I7" s="2">
        <f>VLOOKUP('kif to eKif'!B6,kupciInfoKif,4,)</f>
        <v>209253450003</v>
      </c>
      <c r="J7" s="2">
        <f>VLOOKUP('kif to eKif'!B6,kupciInfoKif,5,)</f>
        <v>4209253450003</v>
      </c>
      <c r="K7" s="170">
        <f>'kif to eKif'!G6</f>
        <v>194.26</v>
      </c>
      <c r="L7" s="170">
        <v>0</v>
      </c>
      <c r="M7" s="170">
        <v>0</v>
      </c>
      <c r="N7" s="170">
        <v>0</v>
      </c>
      <c r="O7" s="170">
        <f>'kif to eKif'!E6</f>
        <v>166.03</v>
      </c>
      <c r="P7" s="170">
        <f>'kif to eKif'!F6</f>
        <v>28.23</v>
      </c>
      <c r="Q7" s="170">
        <v>0</v>
      </c>
      <c r="R7" s="170">
        <v>0</v>
      </c>
      <c r="S7" s="170">
        <v>0</v>
      </c>
      <c r="T7" s="170">
        <v>0</v>
      </c>
      <c r="U7" s="170">
        <v>0</v>
      </c>
    </row>
    <row r="8" spans="1:21">
      <c r="A8" s="151" t="str">
        <f t="shared" si="0"/>
        <v>2</v>
      </c>
      <c r="B8" s="167">
        <f>'kif to eKif'!$K$1</f>
        <v>2202</v>
      </c>
      <c r="C8" s="167">
        <v>7</v>
      </c>
      <c r="D8" s="168">
        <v>1</v>
      </c>
      <c r="E8" s="167">
        <f>'kif to eKif'!$D7</f>
        <v>22070</v>
      </c>
      <c r="F8" s="169">
        <f>'kif to eKif'!H7</f>
        <v>44594</v>
      </c>
      <c r="G8" s="167" t="str">
        <f>'kif to eKif'!A7</f>
        <v>Zelenara trgovinska radnja</v>
      </c>
      <c r="H8" t="str">
        <f>VLOOKUP('kif to eKif'!B7,kupciInfoKif,8,)</f>
        <v>I.Sarajevo</v>
      </c>
      <c r="I8" s="2">
        <f>VLOOKUP('kif to eKif'!B7,kupciInfoKif,4,)</f>
        <v>507894200008</v>
      </c>
      <c r="J8" s="2">
        <f>VLOOKUP('kif to eKif'!B7,kupciInfoKif,5,)</f>
        <v>4507894200008</v>
      </c>
      <c r="K8" s="170">
        <f>'kif to eKif'!G7</f>
        <v>55.66</v>
      </c>
      <c r="L8" s="170">
        <v>0</v>
      </c>
      <c r="M8" s="170">
        <v>0</v>
      </c>
      <c r="N8" s="170">
        <v>0</v>
      </c>
      <c r="O8" s="170">
        <f>'kif to eKif'!E7</f>
        <v>47.57</v>
      </c>
      <c r="P8" s="170">
        <f>'kif to eKif'!F7</f>
        <v>8.09</v>
      </c>
      <c r="Q8" s="170">
        <v>0</v>
      </c>
      <c r="R8" s="170">
        <v>0</v>
      </c>
      <c r="S8" s="170">
        <v>0</v>
      </c>
      <c r="T8" s="170">
        <v>0</v>
      </c>
      <c r="U8" s="170">
        <v>0</v>
      </c>
    </row>
    <row r="9" spans="1:21">
      <c r="A9" s="151" t="str">
        <f t="shared" si="0"/>
        <v>2</v>
      </c>
      <c r="B9" s="167">
        <f>'kif to eKif'!$K$1</f>
        <v>2202</v>
      </c>
      <c r="C9" s="167">
        <v>8</v>
      </c>
      <c r="D9" s="168">
        <v>1</v>
      </c>
      <c r="E9" s="167">
        <f>'kif to eKif'!$D8</f>
        <v>22071</v>
      </c>
      <c r="F9" s="169">
        <f>'kif to eKif'!H8</f>
        <v>44594</v>
      </c>
      <c r="G9" s="167" t="str">
        <f>'kif to eKif'!A8</f>
        <v xml:space="preserve">Lounge bar "Shane" Nedeljko Bakula </v>
      </c>
      <c r="H9" t="str">
        <f>VLOOKUP('kif to eKif'!B8,kupciInfoKif,8,)</f>
        <v>Sarajevo</v>
      </c>
      <c r="I9" s="2" t="str">
        <f>VLOOKUP('kif to eKif'!B8,kupciInfoKif,4,)</f>
        <v>511428370006</v>
      </c>
      <c r="J9" s="2" t="str">
        <f>VLOOKUP('kif to eKif'!B8,kupciInfoKif,5,)</f>
        <v>4511428370006</v>
      </c>
      <c r="K9" s="170">
        <f>'kif to eKif'!G8</f>
        <v>22.14</v>
      </c>
      <c r="L9" s="170">
        <v>0</v>
      </c>
      <c r="M9" s="170">
        <v>0</v>
      </c>
      <c r="N9" s="170">
        <v>0</v>
      </c>
      <c r="O9" s="170">
        <f>'kif to eKif'!E8</f>
        <v>18.920000000000002</v>
      </c>
      <c r="P9" s="170">
        <f>'kif to eKif'!F8</f>
        <v>3.22</v>
      </c>
      <c r="Q9" s="170">
        <v>0</v>
      </c>
      <c r="R9" s="170">
        <v>0</v>
      </c>
      <c r="S9" s="170">
        <v>0</v>
      </c>
      <c r="T9" s="170">
        <v>0</v>
      </c>
      <c r="U9" s="170">
        <v>0</v>
      </c>
    </row>
    <row r="10" spans="1:21">
      <c r="A10" s="151" t="str">
        <f t="shared" si="0"/>
        <v>2</v>
      </c>
      <c r="B10" s="167">
        <f>'kif to eKif'!$K$1</f>
        <v>2202</v>
      </c>
      <c r="C10" s="167">
        <v>9</v>
      </c>
      <c r="D10" s="168">
        <v>1</v>
      </c>
      <c r="E10" s="167">
        <f>'kif to eKif'!$D9</f>
        <v>22072</v>
      </c>
      <c r="F10" s="169">
        <f>'kif to eKif'!H9</f>
        <v>44594</v>
      </c>
      <c r="G10" s="167" t="str">
        <f>'kif to eKif'!A9</f>
        <v>UR "4Sobe Gospođe Safije"</v>
      </c>
      <c r="H10" t="str">
        <f>VLOOKUP('kif to eKif'!B9,kupciInfoKif,8,)</f>
        <v>Sarajevo</v>
      </c>
      <c r="I10" s="2">
        <f>VLOOKUP('kif to eKif'!B9,kupciInfoKif,4,)</f>
        <v>301676190001</v>
      </c>
      <c r="J10" s="2">
        <f>VLOOKUP('kif to eKif'!B9,kupciInfoKif,5,)</f>
        <v>4301676190001</v>
      </c>
      <c r="K10" s="170">
        <f>'kif to eKif'!G9</f>
        <v>25.83</v>
      </c>
      <c r="L10" s="170">
        <v>0</v>
      </c>
      <c r="M10" s="170">
        <v>0</v>
      </c>
      <c r="N10" s="170">
        <v>0</v>
      </c>
      <c r="O10" s="170">
        <f>'kif to eKif'!E9</f>
        <v>22.08</v>
      </c>
      <c r="P10" s="170">
        <f>'kif to eKif'!F9</f>
        <v>3.75</v>
      </c>
      <c r="Q10" s="170">
        <v>0</v>
      </c>
      <c r="R10" s="170">
        <v>0</v>
      </c>
      <c r="S10" s="170">
        <v>0</v>
      </c>
      <c r="T10" s="170">
        <v>0</v>
      </c>
      <c r="U10" s="170">
        <v>0</v>
      </c>
    </row>
    <row r="11" spans="1:21">
      <c r="A11" s="151" t="str">
        <f t="shared" si="0"/>
        <v>2</v>
      </c>
      <c r="B11" s="167">
        <f>'kif to eKif'!$K$1</f>
        <v>2202</v>
      </c>
      <c r="C11" s="167">
        <v>10</v>
      </c>
      <c r="D11" s="168">
        <v>1</v>
      </c>
      <c r="E11" s="167">
        <f>'kif to eKif'!$D10</f>
        <v>22073</v>
      </c>
      <c r="F11" s="169">
        <f>'kif to eKif'!H10</f>
        <v>44594</v>
      </c>
      <c r="G11" s="167" t="str">
        <f>'kif to eKif'!A10</f>
        <v>A&amp;G D.O.O.</v>
      </c>
      <c r="H11" t="str">
        <f>VLOOKUP('kif to eKif'!B10,kupciInfoKif,8,)</f>
        <v>Istočna Ilidža</v>
      </c>
      <c r="I11" s="2">
        <f>VLOOKUP('kif to eKif'!B10,kupciInfoKif,4,)</f>
        <v>0</v>
      </c>
      <c r="J11" s="2">
        <f>VLOOKUP('kif to eKif'!B10,kupciInfoKif,5,)</f>
        <v>4404706890007</v>
      </c>
      <c r="K11" s="170">
        <f>'kif to eKif'!G10</f>
        <v>52.95</v>
      </c>
      <c r="L11" s="170">
        <v>0</v>
      </c>
      <c r="M11" s="170">
        <v>0</v>
      </c>
      <c r="N11" s="170">
        <v>0</v>
      </c>
      <c r="O11" s="170">
        <f>'kif to eKif'!E10</f>
        <v>45.26</v>
      </c>
      <c r="P11" s="170">
        <f>'kif to eKif'!F10</f>
        <v>7.69</v>
      </c>
      <c r="Q11" s="170">
        <v>0</v>
      </c>
      <c r="R11" s="170">
        <v>0</v>
      </c>
      <c r="S11" s="170">
        <v>0</v>
      </c>
      <c r="T11" s="170">
        <v>0</v>
      </c>
      <c r="U11" s="170">
        <v>0</v>
      </c>
    </row>
    <row r="12" spans="1:21">
      <c r="A12" s="151" t="str">
        <f t="shared" si="0"/>
        <v>2</v>
      </c>
      <c r="B12" s="167">
        <f>'kif to eKif'!$K$1</f>
        <v>2202</v>
      </c>
      <c r="C12" s="167">
        <v>11</v>
      </c>
      <c r="D12" s="168">
        <v>1</v>
      </c>
      <c r="E12" s="167">
        <f>'kif to eKif'!$D11</f>
        <v>22074</v>
      </c>
      <c r="F12" s="169">
        <f>'kif to eKif'!H11</f>
        <v>44594</v>
      </c>
      <c r="G12" s="167" t="str">
        <f>'kif to eKif'!A11</f>
        <v>UR "BAOLI" Sarajevo</v>
      </c>
      <c r="H12" t="str">
        <f>VLOOKUP('kif to eKif'!B11,kupciInfoKif,8,)</f>
        <v>Sarajevo</v>
      </c>
      <c r="I12" s="2" t="str">
        <f>VLOOKUP('kif to eKif'!B11,kupciInfoKif,4,)</f>
        <v>303430690008</v>
      </c>
      <c r="J12" s="2" t="str">
        <f>VLOOKUP('kif to eKif'!B11,kupciInfoKif,5,)</f>
        <v>4303430690008</v>
      </c>
      <c r="K12" s="170">
        <f>'kif to eKif'!G11</f>
        <v>61.57</v>
      </c>
      <c r="L12" s="170">
        <v>0</v>
      </c>
      <c r="M12" s="170">
        <v>0</v>
      </c>
      <c r="N12" s="170">
        <v>0</v>
      </c>
      <c r="O12" s="170">
        <f>'kif to eKif'!E11</f>
        <v>52.62</v>
      </c>
      <c r="P12" s="170">
        <f>'kif to eKif'!F11</f>
        <v>8.9499999999999993</v>
      </c>
      <c r="Q12" s="170">
        <v>0</v>
      </c>
      <c r="R12" s="170">
        <v>0</v>
      </c>
      <c r="S12" s="170">
        <v>0</v>
      </c>
      <c r="T12" s="170">
        <v>0</v>
      </c>
      <c r="U12" s="170">
        <v>0</v>
      </c>
    </row>
    <row r="13" spans="1:21">
      <c r="A13" s="151" t="str">
        <f t="shared" si="0"/>
        <v>2</v>
      </c>
      <c r="B13" s="167">
        <f>'kif to eKif'!$K$1</f>
        <v>2202</v>
      </c>
      <c r="C13" s="167">
        <v>12</v>
      </c>
      <c r="D13" s="168">
        <v>1</v>
      </c>
      <c r="E13" s="167">
        <f>'kif to eKif'!$D12</f>
        <v>22075</v>
      </c>
      <c r="F13" s="169">
        <f>'kif to eKif'!H12</f>
        <v>44594</v>
      </c>
      <c r="G13" s="167" t="str">
        <f>'kif to eKif'!A12</f>
        <v>UR "Park Prinčeva"</v>
      </c>
      <c r="H13" t="str">
        <f>VLOOKUP('kif to eKif'!B12,kupciInfoKif,8,)</f>
        <v>Sarajevo</v>
      </c>
      <c r="I13" s="2">
        <f>VLOOKUP('kif to eKif'!B12,kupciInfoKif,4,)</f>
        <v>301174760009</v>
      </c>
      <c r="J13" s="2">
        <f>VLOOKUP('kif to eKif'!B12,kupciInfoKif,5,)</f>
        <v>4301174760009</v>
      </c>
      <c r="K13" s="170">
        <f>'kif to eKif'!G12</f>
        <v>41.98</v>
      </c>
      <c r="L13" s="170">
        <v>0</v>
      </c>
      <c r="M13" s="170">
        <v>0</v>
      </c>
      <c r="N13" s="170">
        <v>0</v>
      </c>
      <c r="O13" s="170">
        <f>'kif to eKif'!E12</f>
        <v>35.880000000000003</v>
      </c>
      <c r="P13" s="170">
        <f>'kif to eKif'!F12</f>
        <v>6.1</v>
      </c>
      <c r="Q13" s="170">
        <v>0</v>
      </c>
      <c r="R13" s="170">
        <v>0</v>
      </c>
      <c r="S13" s="170">
        <v>0</v>
      </c>
      <c r="T13" s="170">
        <v>0</v>
      </c>
      <c r="U13" s="170">
        <v>0</v>
      </c>
    </row>
    <row r="14" spans="1:21">
      <c r="A14" s="151" t="str">
        <f t="shared" si="0"/>
        <v>2</v>
      </c>
      <c r="B14" s="167">
        <f>'kif to eKif'!$K$1</f>
        <v>2202</v>
      </c>
      <c r="C14" s="167">
        <v>13</v>
      </c>
      <c r="D14" s="168">
        <v>1</v>
      </c>
      <c r="E14" s="167">
        <f>'kif to eKif'!$D13</f>
        <v>22076</v>
      </c>
      <c r="F14" s="169">
        <f>'kif to eKif'!H13</f>
        <v>44594</v>
      </c>
      <c r="G14" s="167" t="str">
        <f>'kif to eKif'!A13</f>
        <v>Knock-knock d.o.o.</v>
      </c>
      <c r="H14" t="str">
        <f>VLOOKUP('kif to eKif'!B13,kupciInfoKif,8,)</f>
        <v>Sarajevo</v>
      </c>
      <c r="I14" s="2">
        <f>VLOOKUP('kif to eKif'!B13,kupciInfoKif,4,)</f>
        <v>200019090004</v>
      </c>
      <c r="J14" s="2">
        <f>VLOOKUP('kif to eKif'!B13,kupciInfoKif,5,)</f>
        <v>4200019090004</v>
      </c>
      <c r="K14" s="170">
        <f>'kif to eKif'!G13</f>
        <v>86.11</v>
      </c>
      <c r="L14" s="170">
        <v>0</v>
      </c>
      <c r="M14" s="170">
        <v>0</v>
      </c>
      <c r="N14" s="170">
        <v>0</v>
      </c>
      <c r="O14" s="170">
        <f>'kif to eKif'!E13</f>
        <v>73.599999999999994</v>
      </c>
      <c r="P14" s="170">
        <f>'kif to eKif'!F13</f>
        <v>12.51</v>
      </c>
      <c r="Q14" s="170">
        <v>0</v>
      </c>
      <c r="R14" s="170">
        <v>0</v>
      </c>
      <c r="S14" s="170">
        <v>0</v>
      </c>
      <c r="T14" s="170">
        <v>0</v>
      </c>
      <c r="U14" s="170">
        <v>0</v>
      </c>
    </row>
    <row r="15" spans="1:21">
      <c r="A15" s="151" t="str">
        <f t="shared" si="0"/>
        <v>2</v>
      </c>
      <c r="B15" s="167">
        <f>'kif to eKif'!$K$1</f>
        <v>2202</v>
      </c>
      <c r="C15" s="167">
        <v>14</v>
      </c>
      <c r="D15" s="168">
        <v>1</v>
      </c>
      <c r="E15" s="167">
        <f>'kif to eKif'!$D14</f>
        <v>22077</v>
      </c>
      <c r="F15" s="169">
        <f>'kif to eKif'!H14</f>
        <v>44594</v>
      </c>
      <c r="G15" s="167" t="str">
        <f>'kif to eKif'!A14</f>
        <v>MORE d.o.o.</v>
      </c>
      <c r="H15" t="str">
        <f>VLOOKUP('kif to eKif'!B14,kupciInfoKif,8,)</f>
        <v>Sarajevo</v>
      </c>
      <c r="I15" s="2">
        <f>VLOOKUP('kif to eKif'!B14,kupciInfoKif,4,)</f>
        <v>0</v>
      </c>
      <c r="J15" s="2">
        <f>VLOOKUP('kif to eKif'!B14,kupciInfoKif,5,)</f>
        <v>4202967550015</v>
      </c>
      <c r="K15" s="170">
        <f>'kif to eKif'!G14</f>
        <v>56.84</v>
      </c>
      <c r="L15" s="170">
        <v>0</v>
      </c>
      <c r="M15" s="170">
        <v>0</v>
      </c>
      <c r="N15" s="170">
        <v>0</v>
      </c>
      <c r="O15" s="170">
        <f>'kif to eKif'!E14</f>
        <v>48.58</v>
      </c>
      <c r="P15" s="170">
        <f>'kif to eKif'!F14</f>
        <v>8.26</v>
      </c>
      <c r="Q15" s="170">
        <v>0</v>
      </c>
      <c r="R15" s="170">
        <v>0</v>
      </c>
      <c r="S15" s="170">
        <v>0</v>
      </c>
      <c r="T15" s="170">
        <v>0</v>
      </c>
      <c r="U15" s="170">
        <v>0</v>
      </c>
    </row>
    <row r="16" spans="1:21">
      <c r="A16" s="151" t="str">
        <f t="shared" si="0"/>
        <v>2</v>
      </c>
      <c r="B16" s="167">
        <f>'kif to eKif'!$K$1</f>
        <v>2202</v>
      </c>
      <c r="C16" s="167">
        <v>15</v>
      </c>
      <c r="D16" s="168">
        <v>1</v>
      </c>
      <c r="E16" s="167">
        <f>'kif to eKif'!$D15</f>
        <v>22078</v>
      </c>
      <c r="F16" s="169">
        <f>'kif to eKif'!H15</f>
        <v>44594</v>
      </c>
      <c r="G16" s="167" t="str">
        <f>'kif to eKif'!A15</f>
        <v>Kenna d.o.o. Sarajevo</v>
      </c>
      <c r="H16" t="str">
        <f>VLOOKUP('kif to eKif'!B15,kupciInfoKif,8,)</f>
        <v>Sarajevo</v>
      </c>
      <c r="I16" s="2" t="str">
        <f>VLOOKUP('kif to eKif'!B15,kupciInfoKif,4,)</f>
        <v>200544250004</v>
      </c>
      <c r="J16" s="2" t="str">
        <f>VLOOKUP('kif to eKif'!B15,kupciInfoKif,5,)</f>
        <v>4200544250004</v>
      </c>
      <c r="K16" s="170">
        <f>'kif to eKif'!G15</f>
        <v>17.829999999999998</v>
      </c>
      <c r="L16" s="170">
        <v>0</v>
      </c>
      <c r="M16" s="170">
        <v>0</v>
      </c>
      <c r="N16" s="170">
        <v>0</v>
      </c>
      <c r="O16" s="170">
        <f>'kif to eKif'!E15</f>
        <v>15.24</v>
      </c>
      <c r="P16" s="170">
        <f>'kif to eKif'!F15</f>
        <v>2.59</v>
      </c>
      <c r="Q16" s="170">
        <v>0</v>
      </c>
      <c r="R16" s="170">
        <v>0</v>
      </c>
      <c r="S16" s="170">
        <v>0</v>
      </c>
      <c r="T16" s="170">
        <v>0</v>
      </c>
      <c r="U16" s="170">
        <v>0</v>
      </c>
    </row>
    <row r="17" spans="1:21">
      <c r="A17" s="151" t="str">
        <f t="shared" si="0"/>
        <v>2</v>
      </c>
      <c r="B17" s="167">
        <f>'kif to eKif'!$K$1</f>
        <v>2202</v>
      </c>
      <c r="C17" s="167">
        <v>16</v>
      </c>
      <c r="D17" s="168">
        <v>1</v>
      </c>
      <c r="E17" s="167">
        <f>'kif to eKif'!$D16</f>
        <v>22079</v>
      </c>
      <c r="F17" s="169">
        <f>'kif to eKif'!H16</f>
        <v>44594</v>
      </c>
      <c r="G17" s="167" t="str">
        <f>'kif to eKif'!A16</f>
        <v>U.R. BARKA</v>
      </c>
      <c r="H17" t="str">
        <f>VLOOKUP('kif to eKif'!B16,kupciInfoKif,8,)</f>
        <v>Istočna Ilidža</v>
      </c>
      <c r="I17" s="2">
        <f>VLOOKUP('kif to eKif'!B16,kupciInfoKif,4,)</f>
        <v>501584200000</v>
      </c>
      <c r="J17" s="2">
        <f>VLOOKUP('kif to eKif'!B16,kupciInfoKif,5,)</f>
        <v>4501584200000</v>
      </c>
      <c r="K17" s="170">
        <f>'kif to eKif'!G16</f>
        <v>26.78</v>
      </c>
      <c r="L17" s="170">
        <v>0</v>
      </c>
      <c r="M17" s="170">
        <v>0</v>
      </c>
      <c r="N17" s="170">
        <v>0</v>
      </c>
      <c r="O17" s="170">
        <f>'kif to eKif'!E16</f>
        <v>22.89</v>
      </c>
      <c r="P17" s="170">
        <f>'kif to eKif'!F16</f>
        <v>3.89</v>
      </c>
      <c r="Q17" s="170">
        <v>0</v>
      </c>
      <c r="R17" s="170">
        <v>0</v>
      </c>
      <c r="S17" s="170">
        <v>0</v>
      </c>
      <c r="T17" s="170">
        <v>0</v>
      </c>
      <c r="U17" s="170">
        <v>0</v>
      </c>
    </row>
    <row r="18" spans="1:21">
      <c r="A18" s="151" t="str">
        <f t="shared" si="0"/>
        <v>2</v>
      </c>
      <c r="B18" s="167">
        <f>'kif to eKif'!$K$1</f>
        <v>2202</v>
      </c>
      <c r="C18" s="167">
        <v>17</v>
      </c>
      <c r="D18" s="168">
        <v>1</v>
      </c>
      <c r="E18" s="167">
        <f>'kif to eKif'!$D17</f>
        <v>22096</v>
      </c>
      <c r="F18" s="169">
        <f>'kif to eKif'!H17</f>
        <v>44601</v>
      </c>
      <c r="G18" s="167" t="str">
        <f>'kif to eKif'!A17</f>
        <v>"Mercator BH" Trgovina na veliko i malo d.o.o. Sarajevo</v>
      </c>
      <c r="H18" t="str">
        <f>VLOOKUP('kif to eKif'!B17,kupciInfoKif,8,)</f>
        <v>Sarajevo</v>
      </c>
      <c r="I18" s="2" t="str">
        <f>VLOOKUP('kif to eKif'!B17,kupciInfoKif,4,)</f>
        <v>200841110009</v>
      </c>
      <c r="J18" s="2" t="str">
        <f>VLOOKUP('kif to eKif'!B17,kupciInfoKif,5,)</f>
        <v>4200841110009</v>
      </c>
      <c r="K18" s="170">
        <f>'kif to eKif'!G17</f>
        <v>250.01</v>
      </c>
      <c r="L18" s="170">
        <v>0</v>
      </c>
      <c r="M18" s="170">
        <v>0</v>
      </c>
      <c r="N18" s="170">
        <v>0</v>
      </c>
      <c r="O18" s="170">
        <f>'kif to eKif'!E17</f>
        <v>213.68</v>
      </c>
      <c r="P18" s="170">
        <f>'kif to eKif'!F17</f>
        <v>36.33</v>
      </c>
      <c r="Q18" s="170">
        <v>0</v>
      </c>
      <c r="R18" s="170">
        <v>0</v>
      </c>
      <c r="S18" s="170">
        <v>0</v>
      </c>
      <c r="T18" s="170">
        <v>0</v>
      </c>
      <c r="U18" s="170">
        <v>0</v>
      </c>
    </row>
    <row r="19" spans="1:21">
      <c r="A19" s="151" t="str">
        <f t="shared" si="0"/>
        <v>2</v>
      </c>
      <c r="B19" s="167">
        <f>'kif to eKif'!$K$1</f>
        <v>2202</v>
      </c>
      <c r="C19" s="167">
        <v>18</v>
      </c>
      <c r="D19" s="168">
        <v>1</v>
      </c>
      <c r="E19" s="167">
        <f>'kif to eKif'!$D18</f>
        <v>22097</v>
      </c>
      <c r="F19" s="169">
        <f>'kif to eKif'!H18</f>
        <v>44601</v>
      </c>
      <c r="G19" s="167" t="str">
        <f>'kif to eKif'!A18</f>
        <v>"Mercator BH" Trgovina na veliko i malo d.o.o. Sarajevo</v>
      </c>
      <c r="H19" t="str">
        <f>VLOOKUP('kif to eKif'!B18,kupciInfoKif,8,)</f>
        <v>Sarajevo</v>
      </c>
      <c r="I19" s="2" t="str">
        <f>VLOOKUP('kif to eKif'!B18,kupciInfoKif,4,)</f>
        <v>200841110009</v>
      </c>
      <c r="J19" s="2" t="str">
        <f>VLOOKUP('kif to eKif'!B18,kupciInfoKif,5,)</f>
        <v>4200841110009</v>
      </c>
      <c r="K19" s="170">
        <f>'kif to eKif'!G18</f>
        <v>54.48</v>
      </c>
      <c r="L19" s="170">
        <v>0</v>
      </c>
      <c r="M19" s="170">
        <v>0</v>
      </c>
      <c r="N19" s="170">
        <v>0</v>
      </c>
      <c r="O19" s="170">
        <f>'kif to eKif'!E18</f>
        <v>46.56</v>
      </c>
      <c r="P19" s="170">
        <f>'kif to eKif'!F18</f>
        <v>7.92</v>
      </c>
      <c r="Q19" s="170">
        <v>0</v>
      </c>
      <c r="R19" s="170">
        <v>0</v>
      </c>
      <c r="S19" s="170">
        <v>0</v>
      </c>
      <c r="T19" s="170">
        <v>0</v>
      </c>
      <c r="U19" s="170">
        <v>0</v>
      </c>
    </row>
    <row r="20" spans="1:21">
      <c r="A20" s="151" t="str">
        <f t="shared" si="0"/>
        <v>2</v>
      </c>
      <c r="B20" s="167">
        <f>'kif to eKif'!$K$1</f>
        <v>2202</v>
      </c>
      <c r="C20" s="167">
        <v>19</v>
      </c>
      <c r="D20" s="168">
        <v>1</v>
      </c>
      <c r="E20" s="167">
        <f>'kif to eKif'!$D19</f>
        <v>22098</v>
      </c>
      <c r="F20" s="169">
        <f>'kif to eKif'!H19</f>
        <v>44601</v>
      </c>
      <c r="G20" s="167" t="str">
        <f>'kif to eKif'!A19</f>
        <v>BINGO d.o.o. Tuzla</v>
      </c>
      <c r="H20" t="str">
        <f>VLOOKUP('kif to eKif'!B19,kupciInfoKif,8,)</f>
        <v>Tuzla</v>
      </c>
      <c r="I20" s="2">
        <f>VLOOKUP('kif to eKif'!B19,kupciInfoKif,4,)</f>
        <v>209253450003</v>
      </c>
      <c r="J20" s="2">
        <f>VLOOKUP('kif to eKif'!B19,kupciInfoKif,5,)</f>
        <v>4209253450003</v>
      </c>
      <c r="K20" s="170">
        <f>'kif to eKif'!G19</f>
        <v>145.09</v>
      </c>
      <c r="L20" s="170">
        <v>0</v>
      </c>
      <c r="M20" s="170">
        <v>0</v>
      </c>
      <c r="N20" s="170">
        <v>0</v>
      </c>
      <c r="O20" s="170">
        <f>'kif to eKif'!E19</f>
        <v>124.01</v>
      </c>
      <c r="P20" s="170">
        <f>'kif to eKif'!F19</f>
        <v>21.08</v>
      </c>
      <c r="Q20" s="170">
        <v>0</v>
      </c>
      <c r="R20" s="170">
        <v>0</v>
      </c>
      <c r="S20" s="170">
        <v>0</v>
      </c>
      <c r="T20" s="170">
        <v>0</v>
      </c>
      <c r="U20" s="170">
        <v>0</v>
      </c>
    </row>
    <row r="21" spans="1:21">
      <c r="A21" s="151" t="str">
        <f t="shared" si="0"/>
        <v>2</v>
      </c>
      <c r="B21" s="167">
        <f>'kif to eKif'!$K$1</f>
        <v>2202</v>
      </c>
      <c r="C21" s="167">
        <v>20</v>
      </c>
      <c r="D21" s="168">
        <v>1</v>
      </c>
      <c r="E21" s="167">
        <f>'kif to eKif'!$D20</f>
        <v>22099</v>
      </c>
      <c r="F21" s="169">
        <f>'kif to eKif'!H20</f>
        <v>44601</v>
      </c>
      <c r="G21" s="167" t="str">
        <f>'kif to eKif'!A20</f>
        <v>BINGO d.o.o. Tuzla</v>
      </c>
      <c r="H21" t="str">
        <f>VLOOKUP('kif to eKif'!B20,kupciInfoKif,8,)</f>
        <v>Tuzla</v>
      </c>
      <c r="I21" s="2">
        <f>VLOOKUP('kif to eKif'!B20,kupciInfoKif,4,)</f>
        <v>209253450003</v>
      </c>
      <c r="J21" s="2">
        <f>VLOOKUP('kif to eKif'!B20,kupciInfoKif,5,)</f>
        <v>4209253450003</v>
      </c>
      <c r="K21" s="170">
        <f>'kif to eKif'!G20</f>
        <v>40.479999999999997</v>
      </c>
      <c r="L21" s="170">
        <v>0</v>
      </c>
      <c r="M21" s="170">
        <v>0</v>
      </c>
      <c r="N21" s="170">
        <v>0</v>
      </c>
      <c r="O21" s="170">
        <f>'kif to eKif'!E20</f>
        <v>34.6</v>
      </c>
      <c r="P21" s="170">
        <f>'kif to eKif'!F20</f>
        <v>5.88</v>
      </c>
      <c r="Q21" s="170">
        <v>0</v>
      </c>
      <c r="R21" s="170">
        <v>0</v>
      </c>
      <c r="S21" s="170">
        <v>0</v>
      </c>
      <c r="T21" s="170">
        <v>0</v>
      </c>
      <c r="U21" s="170">
        <v>0</v>
      </c>
    </row>
    <row r="22" spans="1:21">
      <c r="A22" s="151" t="str">
        <f t="shared" si="0"/>
        <v>2</v>
      </c>
      <c r="B22" s="167">
        <f>'kif to eKif'!$K$1</f>
        <v>2202</v>
      </c>
      <c r="C22" s="167">
        <v>21</v>
      </c>
      <c r="D22" s="168">
        <v>1</v>
      </c>
      <c r="E22" s="167">
        <f>'kif to eKif'!$D21</f>
        <v>22100</v>
      </c>
      <c r="F22" s="169">
        <f>'kif to eKif'!H21</f>
        <v>44601</v>
      </c>
      <c r="G22" s="167" t="str">
        <f>'kif to eKif'!A21</f>
        <v>Zelenara trgovinska radnja</v>
      </c>
      <c r="H22" t="str">
        <f>VLOOKUP('kif to eKif'!B21,kupciInfoKif,8,)</f>
        <v>I.Sarajevo</v>
      </c>
      <c r="I22" s="2">
        <f>VLOOKUP('kif to eKif'!B21,kupciInfoKif,4,)</f>
        <v>507894200008</v>
      </c>
      <c r="J22" s="2">
        <f>VLOOKUP('kif to eKif'!B21,kupciInfoKif,5,)</f>
        <v>4507894200008</v>
      </c>
      <c r="K22" s="170">
        <f>'kif to eKif'!G21</f>
        <v>56.27</v>
      </c>
      <c r="L22" s="170">
        <v>0</v>
      </c>
      <c r="M22" s="170">
        <v>0</v>
      </c>
      <c r="N22" s="170">
        <v>0</v>
      </c>
      <c r="O22" s="170">
        <f>'kif to eKif'!E21</f>
        <v>48.09</v>
      </c>
      <c r="P22" s="170">
        <f>'kif to eKif'!F21</f>
        <v>8.18</v>
      </c>
      <c r="Q22" s="170">
        <v>0</v>
      </c>
      <c r="R22" s="170">
        <v>0</v>
      </c>
      <c r="S22" s="170">
        <v>0</v>
      </c>
      <c r="T22" s="170">
        <v>0</v>
      </c>
      <c r="U22" s="170">
        <v>0</v>
      </c>
    </row>
    <row r="23" spans="1:21">
      <c r="A23" s="151" t="str">
        <f t="shared" si="0"/>
        <v>2</v>
      </c>
      <c r="B23" s="167">
        <f>'kif to eKif'!$K$1</f>
        <v>2202</v>
      </c>
      <c r="C23" s="167">
        <v>22</v>
      </c>
      <c r="D23" s="168">
        <v>1</v>
      </c>
      <c r="E23" s="167">
        <f>'kif to eKif'!$D22</f>
        <v>22101</v>
      </c>
      <c r="F23" s="169">
        <f>'kif to eKif'!H22</f>
        <v>44601</v>
      </c>
      <c r="G23" s="167" t="str">
        <f>'kif to eKif'!A22</f>
        <v>BINGO d.o.o. Tuzla</v>
      </c>
      <c r="H23" t="str">
        <f>VLOOKUP('kif to eKif'!B22,kupciInfoKif,8,)</f>
        <v>Sarajevo</v>
      </c>
      <c r="I23" s="2">
        <f>VLOOKUP('kif to eKif'!B22,kupciInfoKif,4,)</f>
        <v>209253450003</v>
      </c>
      <c r="J23" s="2">
        <f>VLOOKUP('kif to eKif'!B22,kupciInfoKif,5,)</f>
        <v>4209253450003</v>
      </c>
      <c r="K23" s="170">
        <f>'kif to eKif'!G22</f>
        <v>132.82</v>
      </c>
      <c r="L23" s="170">
        <v>0</v>
      </c>
      <c r="M23" s="170">
        <v>0</v>
      </c>
      <c r="N23" s="170">
        <v>0</v>
      </c>
      <c r="O23" s="170">
        <f>'kif to eKif'!E22</f>
        <v>113.52</v>
      </c>
      <c r="P23" s="170">
        <f>'kif to eKif'!F22</f>
        <v>19.3</v>
      </c>
      <c r="Q23" s="170">
        <v>0</v>
      </c>
      <c r="R23" s="170">
        <v>0</v>
      </c>
      <c r="S23" s="170">
        <v>0</v>
      </c>
      <c r="T23" s="170">
        <v>0</v>
      </c>
      <c r="U23" s="170">
        <v>0</v>
      </c>
    </row>
    <row r="24" spans="1:21">
      <c r="A24" s="151" t="str">
        <f t="shared" si="0"/>
        <v>2</v>
      </c>
      <c r="B24" s="167">
        <f>'kif to eKif'!$K$1</f>
        <v>2202</v>
      </c>
      <c r="C24" s="167">
        <v>23</v>
      </c>
      <c r="D24" s="168">
        <v>1</v>
      </c>
      <c r="E24" s="167">
        <f>'kif to eKif'!$D23</f>
        <v>22102</v>
      </c>
      <c r="F24" s="169">
        <f>'kif to eKif'!H23</f>
        <v>44601</v>
      </c>
      <c r="G24" s="167" t="str">
        <f>'kif to eKif'!A23</f>
        <v>Zelenara trgovinska radnja</v>
      </c>
      <c r="H24" t="str">
        <f>VLOOKUP('kif to eKif'!B23,kupciInfoKif,8,)</f>
        <v>I.Sarajevo</v>
      </c>
      <c r="I24" s="2">
        <f>VLOOKUP('kif to eKif'!B23,kupciInfoKif,4,)</f>
        <v>507894200008</v>
      </c>
      <c r="J24" s="2">
        <f>VLOOKUP('kif to eKif'!B23,kupciInfoKif,5,)</f>
        <v>4507894200008</v>
      </c>
      <c r="K24" s="170">
        <f>'kif to eKif'!G23</f>
        <v>73.64</v>
      </c>
      <c r="L24" s="170">
        <v>0</v>
      </c>
      <c r="M24" s="170">
        <v>0</v>
      </c>
      <c r="N24" s="170">
        <v>0</v>
      </c>
      <c r="O24" s="170">
        <f>'kif to eKif'!E23</f>
        <v>62.94</v>
      </c>
      <c r="P24" s="170">
        <f>'kif to eKif'!F23</f>
        <v>10.7</v>
      </c>
      <c r="Q24" s="170">
        <v>0</v>
      </c>
      <c r="R24" s="170">
        <v>0</v>
      </c>
      <c r="S24" s="170">
        <v>0</v>
      </c>
      <c r="T24" s="170">
        <v>0</v>
      </c>
      <c r="U24" s="170">
        <v>0</v>
      </c>
    </row>
    <row r="25" spans="1:21">
      <c r="A25" s="151" t="str">
        <f t="shared" si="0"/>
        <v>2</v>
      </c>
      <c r="B25" s="167">
        <f>'kif to eKif'!$K$1</f>
        <v>2202</v>
      </c>
      <c r="C25" s="167">
        <v>24</v>
      </c>
      <c r="D25" s="168">
        <v>1</v>
      </c>
      <c r="E25" s="167">
        <f>'kif to eKif'!$D24</f>
        <v>22103</v>
      </c>
      <c r="F25" s="169">
        <f>'kif to eKif'!H24</f>
        <v>44601</v>
      </c>
      <c r="G25" s="167" t="str">
        <f>'kif to eKif'!A24</f>
        <v xml:space="preserve">Lounge bar "Shane" Nedeljko Bakula </v>
      </c>
      <c r="H25" t="str">
        <f>VLOOKUP('kif to eKif'!B24,kupciInfoKif,8,)</f>
        <v>Sarajevo</v>
      </c>
      <c r="I25" s="2" t="str">
        <f>VLOOKUP('kif to eKif'!B24,kupciInfoKif,4,)</f>
        <v>511428370006</v>
      </c>
      <c r="J25" s="2" t="str">
        <f>VLOOKUP('kif to eKif'!B24,kupciInfoKif,5,)</f>
        <v>4511428370006</v>
      </c>
      <c r="K25" s="170">
        <f>'kif to eKif'!G24</f>
        <v>22.14</v>
      </c>
      <c r="L25" s="170">
        <v>0</v>
      </c>
      <c r="M25" s="170">
        <v>0</v>
      </c>
      <c r="N25" s="170">
        <v>0</v>
      </c>
      <c r="O25" s="170">
        <f>'kif to eKif'!E24</f>
        <v>18.920000000000002</v>
      </c>
      <c r="P25" s="170">
        <f>'kif to eKif'!F24</f>
        <v>3.22</v>
      </c>
      <c r="Q25" s="170">
        <v>0</v>
      </c>
      <c r="R25" s="170">
        <v>0</v>
      </c>
      <c r="S25" s="170">
        <v>0</v>
      </c>
      <c r="T25" s="170">
        <v>0</v>
      </c>
      <c r="U25" s="170">
        <v>0</v>
      </c>
    </row>
    <row r="26" spans="1:21">
      <c r="A26" s="151" t="str">
        <f t="shared" si="0"/>
        <v>2</v>
      </c>
      <c r="B26" s="167">
        <f>'kif to eKif'!$K$1</f>
        <v>2202</v>
      </c>
      <c r="C26" s="167">
        <v>25</v>
      </c>
      <c r="D26" s="168">
        <v>1</v>
      </c>
      <c r="E26" s="167">
        <f>'kif to eKif'!$D25</f>
        <v>22104</v>
      </c>
      <c r="F26" s="169">
        <f>'kif to eKif'!H25</f>
        <v>44601</v>
      </c>
      <c r="G26" s="167" t="str">
        <f>'kif to eKif'!A25</f>
        <v>UR "4Sobe Gospođe Safije"</v>
      </c>
      <c r="H26" t="str">
        <f>VLOOKUP('kif to eKif'!B25,kupciInfoKif,8,)</f>
        <v>Sarajevo</v>
      </c>
      <c r="I26" s="2">
        <f>VLOOKUP('kif to eKif'!B25,kupciInfoKif,4,)</f>
        <v>301676190001</v>
      </c>
      <c r="J26" s="2">
        <f>VLOOKUP('kif to eKif'!B25,kupciInfoKif,5,)</f>
        <v>4301676190001</v>
      </c>
      <c r="K26" s="170">
        <f>'kif to eKif'!G25</f>
        <v>17.22</v>
      </c>
      <c r="L26" s="170">
        <v>0</v>
      </c>
      <c r="M26" s="170">
        <v>0</v>
      </c>
      <c r="N26" s="170">
        <v>0</v>
      </c>
      <c r="O26" s="170">
        <f>'kif to eKif'!E25</f>
        <v>14.72</v>
      </c>
      <c r="P26" s="170">
        <f>'kif to eKif'!F25</f>
        <v>2.5</v>
      </c>
      <c r="Q26" s="170">
        <v>0</v>
      </c>
      <c r="R26" s="170">
        <v>0</v>
      </c>
      <c r="S26" s="170">
        <v>0</v>
      </c>
      <c r="T26" s="170">
        <v>0</v>
      </c>
      <c r="U26" s="170">
        <v>0</v>
      </c>
    </row>
    <row r="27" spans="1:21">
      <c r="A27" s="151" t="str">
        <f t="shared" si="0"/>
        <v>2</v>
      </c>
      <c r="B27" s="167">
        <f>'kif to eKif'!$K$1</f>
        <v>2202</v>
      </c>
      <c r="C27" s="167">
        <v>26</v>
      </c>
      <c r="D27" s="168">
        <v>1</v>
      </c>
      <c r="E27" s="167">
        <f>'kif to eKif'!$D26</f>
        <v>22105</v>
      </c>
      <c r="F27" s="169">
        <f>'kif to eKif'!H26</f>
        <v>44601</v>
      </c>
      <c r="G27" s="167" t="str">
        <f>'kif to eKif'!A26</f>
        <v>A&amp;G D.O.O.</v>
      </c>
      <c r="H27" t="str">
        <f>VLOOKUP('kif to eKif'!B26,kupciInfoKif,8,)</f>
        <v>Istočna Ilidža</v>
      </c>
      <c r="I27" s="2">
        <f>VLOOKUP('kif to eKif'!B26,kupciInfoKif,4,)</f>
        <v>0</v>
      </c>
      <c r="J27" s="2">
        <f>VLOOKUP('kif to eKif'!B26,kupciInfoKif,5,)</f>
        <v>4404706890007</v>
      </c>
      <c r="K27" s="170">
        <f>'kif to eKif'!G26</f>
        <v>79.13</v>
      </c>
      <c r="L27" s="170">
        <v>0</v>
      </c>
      <c r="M27" s="170">
        <v>0</v>
      </c>
      <c r="N27" s="170">
        <v>0</v>
      </c>
      <c r="O27" s="170">
        <f>'kif to eKif'!E26</f>
        <v>67.63</v>
      </c>
      <c r="P27" s="170">
        <f>'kif to eKif'!F26</f>
        <v>11.5</v>
      </c>
      <c r="Q27" s="170">
        <v>0</v>
      </c>
      <c r="R27" s="170">
        <v>0</v>
      </c>
      <c r="S27" s="170">
        <v>0</v>
      </c>
      <c r="T27" s="170">
        <v>0</v>
      </c>
      <c r="U27" s="170">
        <v>0</v>
      </c>
    </row>
    <row r="28" spans="1:21">
      <c r="A28" s="151" t="str">
        <f t="shared" si="0"/>
        <v>2</v>
      </c>
      <c r="B28" s="167">
        <f>'kif to eKif'!$K$1</f>
        <v>2202</v>
      </c>
      <c r="C28" s="167">
        <v>27</v>
      </c>
      <c r="D28" s="168">
        <v>1</v>
      </c>
      <c r="E28" s="167">
        <f>'kif to eKif'!$D27</f>
        <v>22106</v>
      </c>
      <c r="F28" s="169">
        <f>'kif to eKif'!H27</f>
        <v>44601</v>
      </c>
      <c r="G28" s="167" t="str">
        <f>'kif to eKif'!A27</f>
        <v>UR "BAOLI" Sarajevo</v>
      </c>
      <c r="H28" t="str">
        <f>VLOOKUP('kif to eKif'!B27,kupciInfoKif,8,)</f>
        <v>Sarajevo</v>
      </c>
      <c r="I28" s="2" t="str">
        <f>VLOOKUP('kif to eKif'!B27,kupciInfoKif,4,)</f>
        <v>303430690008</v>
      </c>
      <c r="J28" s="2" t="str">
        <f>VLOOKUP('kif to eKif'!B27,kupciInfoKif,5,)</f>
        <v>4303430690008</v>
      </c>
      <c r="K28" s="170">
        <f>'kif to eKif'!G27</f>
        <v>61.57</v>
      </c>
      <c r="L28" s="170">
        <v>0</v>
      </c>
      <c r="M28" s="170">
        <v>0</v>
      </c>
      <c r="N28" s="170">
        <v>0</v>
      </c>
      <c r="O28" s="170">
        <f>'kif to eKif'!E27</f>
        <v>52.62</v>
      </c>
      <c r="P28" s="170">
        <f>'kif to eKif'!F27</f>
        <v>8.9499999999999993</v>
      </c>
      <c r="Q28" s="170">
        <v>0</v>
      </c>
      <c r="R28" s="170">
        <v>0</v>
      </c>
      <c r="S28" s="170">
        <v>0</v>
      </c>
      <c r="T28" s="170">
        <v>0</v>
      </c>
      <c r="U28" s="170">
        <v>0</v>
      </c>
    </row>
    <row r="29" spans="1:21">
      <c r="A29" s="151" t="str">
        <f t="shared" si="0"/>
        <v>2</v>
      </c>
      <c r="B29" s="167">
        <f>'kif to eKif'!$K$1</f>
        <v>2202</v>
      </c>
      <c r="C29" s="167">
        <v>28</v>
      </c>
      <c r="D29" s="168">
        <v>1</v>
      </c>
      <c r="E29" s="167">
        <f>'kif to eKif'!$D28</f>
        <v>22107</v>
      </c>
      <c r="F29" s="169">
        <f>'kif to eKif'!H28</f>
        <v>44601</v>
      </c>
      <c r="G29" s="167" t="str">
        <f>'kif to eKif'!A28</f>
        <v>UR "Park Prinčeva"</v>
      </c>
      <c r="H29" t="str">
        <f>VLOOKUP('kif to eKif'!B28,kupciInfoKif,8,)</f>
        <v>Sarajevo</v>
      </c>
      <c r="I29" s="2">
        <f>VLOOKUP('kif to eKif'!B28,kupciInfoKif,4,)</f>
        <v>301174760009</v>
      </c>
      <c r="J29" s="2">
        <f>VLOOKUP('kif to eKif'!B28,kupciInfoKif,5,)</f>
        <v>4301174760009</v>
      </c>
      <c r="K29" s="170">
        <f>'kif to eKif'!G28</f>
        <v>41.98</v>
      </c>
      <c r="L29" s="170">
        <v>0</v>
      </c>
      <c r="M29" s="170">
        <v>0</v>
      </c>
      <c r="N29" s="170">
        <v>0</v>
      </c>
      <c r="O29" s="170">
        <f>'kif to eKif'!E28</f>
        <v>35.880000000000003</v>
      </c>
      <c r="P29" s="170">
        <f>'kif to eKif'!F28</f>
        <v>6.1</v>
      </c>
      <c r="Q29" s="170">
        <v>0</v>
      </c>
      <c r="R29" s="170">
        <v>0</v>
      </c>
      <c r="S29" s="170">
        <v>0</v>
      </c>
      <c r="T29" s="170">
        <v>0</v>
      </c>
      <c r="U29" s="170">
        <v>0</v>
      </c>
    </row>
    <row r="30" spans="1:21">
      <c r="A30" s="151" t="str">
        <f t="shared" si="0"/>
        <v>2</v>
      </c>
      <c r="B30" s="167">
        <f>'kif to eKif'!$K$1</f>
        <v>2202</v>
      </c>
      <c r="C30" s="167">
        <v>29</v>
      </c>
      <c r="D30" s="168">
        <v>1</v>
      </c>
      <c r="E30" s="167">
        <f>'kif to eKif'!$D29</f>
        <v>22108</v>
      </c>
      <c r="F30" s="169">
        <f>'kif to eKif'!H29</f>
        <v>44601</v>
      </c>
      <c r="G30" s="167" t="str">
        <f>'kif to eKif'!A29</f>
        <v>Knock-knock d.o.o.</v>
      </c>
      <c r="H30" t="str">
        <f>VLOOKUP('kif to eKif'!B29,kupciInfoKif,8,)</f>
        <v>Sarajevo</v>
      </c>
      <c r="I30" s="2">
        <f>VLOOKUP('kif to eKif'!B29,kupciInfoKif,4,)</f>
        <v>200019090004</v>
      </c>
      <c r="J30" s="2">
        <f>VLOOKUP('kif to eKif'!B29,kupciInfoKif,5,)</f>
        <v>4200019090004</v>
      </c>
      <c r="K30" s="170">
        <f>'kif to eKif'!G29</f>
        <v>86.11</v>
      </c>
      <c r="L30" s="170">
        <v>0</v>
      </c>
      <c r="M30" s="170">
        <v>0</v>
      </c>
      <c r="N30" s="170">
        <v>0</v>
      </c>
      <c r="O30" s="170">
        <f>'kif to eKif'!E29</f>
        <v>73.599999999999994</v>
      </c>
      <c r="P30" s="170">
        <f>'kif to eKif'!F29</f>
        <v>12.51</v>
      </c>
      <c r="Q30" s="170">
        <v>0</v>
      </c>
      <c r="R30" s="170">
        <v>0</v>
      </c>
      <c r="S30" s="170">
        <v>0</v>
      </c>
      <c r="T30" s="170">
        <v>0</v>
      </c>
      <c r="U30" s="170">
        <v>0</v>
      </c>
    </row>
    <row r="31" spans="1:21">
      <c r="A31" s="151" t="str">
        <f t="shared" si="0"/>
        <v>2</v>
      </c>
      <c r="B31" s="167">
        <f>'kif to eKif'!$K$1</f>
        <v>2202</v>
      </c>
      <c r="C31" s="167">
        <v>30</v>
      </c>
      <c r="D31" s="168">
        <v>1</v>
      </c>
      <c r="E31" s="167">
        <f>'kif to eKif'!$D30</f>
        <v>22109</v>
      </c>
      <c r="F31" s="169">
        <f>'kif to eKif'!H30</f>
        <v>44601</v>
      </c>
      <c r="G31" s="167" t="str">
        <f>'kif to eKif'!A30</f>
        <v>MORE d.o.o.</v>
      </c>
      <c r="H31" t="str">
        <f>VLOOKUP('kif to eKif'!B30,kupciInfoKif,8,)</f>
        <v>Sarajevo</v>
      </c>
      <c r="I31" s="2">
        <f>VLOOKUP('kif to eKif'!B30,kupciInfoKif,4,)</f>
        <v>0</v>
      </c>
      <c r="J31" s="2">
        <f>VLOOKUP('kif to eKif'!B30,kupciInfoKif,5,)</f>
        <v>4202967550015</v>
      </c>
      <c r="K31" s="170">
        <f>'kif to eKif'!G30</f>
        <v>28.42</v>
      </c>
      <c r="L31" s="170">
        <v>0</v>
      </c>
      <c r="M31" s="170">
        <v>0</v>
      </c>
      <c r="N31" s="170">
        <v>0</v>
      </c>
      <c r="O31" s="170">
        <f>'kif to eKif'!E30</f>
        <v>24.29</v>
      </c>
      <c r="P31" s="170">
        <f>'kif to eKif'!F30</f>
        <v>4.13</v>
      </c>
      <c r="Q31" s="170">
        <v>0</v>
      </c>
      <c r="R31" s="170">
        <v>0</v>
      </c>
      <c r="S31" s="170">
        <v>0</v>
      </c>
      <c r="T31" s="170">
        <v>0</v>
      </c>
      <c r="U31" s="170">
        <v>0</v>
      </c>
    </row>
    <row r="32" spans="1:21">
      <c r="A32" s="151" t="str">
        <f t="shared" si="0"/>
        <v>2</v>
      </c>
      <c r="B32" s="167">
        <f>'kif to eKif'!$K$1</f>
        <v>2202</v>
      </c>
      <c r="C32" s="167">
        <v>31</v>
      </c>
      <c r="D32" s="168">
        <v>1</v>
      </c>
      <c r="E32" s="167">
        <f>'kif to eKif'!$D31</f>
        <v>22110</v>
      </c>
      <c r="F32" s="169">
        <f>'kif to eKif'!H31</f>
        <v>44608</v>
      </c>
      <c r="G32" s="167" t="str">
        <f>'kif to eKif'!A31</f>
        <v>"Mercator BH" Trgovina na veliko i malo d.o.o. Sarajevo</v>
      </c>
      <c r="H32" t="str">
        <f>VLOOKUP('kif to eKif'!B31,kupciInfoKif,8,)</f>
        <v>Sarajevo</v>
      </c>
      <c r="I32" s="2" t="str">
        <f>VLOOKUP('kif to eKif'!B31,kupciInfoKif,4,)</f>
        <v>200841110009</v>
      </c>
      <c r="J32" s="2" t="str">
        <f>VLOOKUP('kif to eKif'!B31,kupciInfoKif,5,)</f>
        <v>4200841110009</v>
      </c>
      <c r="K32" s="170">
        <f>'kif to eKif'!G31</f>
        <v>273.43</v>
      </c>
      <c r="L32" s="170">
        <v>0</v>
      </c>
      <c r="M32" s="170">
        <v>0</v>
      </c>
      <c r="N32" s="170">
        <v>0</v>
      </c>
      <c r="O32" s="170">
        <f>'kif to eKif'!E31</f>
        <v>233.7</v>
      </c>
      <c r="P32" s="170">
        <f>'kif to eKif'!F31</f>
        <v>39.729999999999997</v>
      </c>
      <c r="Q32" s="170">
        <v>0</v>
      </c>
      <c r="R32" s="170">
        <v>0</v>
      </c>
      <c r="S32" s="170">
        <v>0</v>
      </c>
      <c r="T32" s="170">
        <v>0</v>
      </c>
      <c r="U32" s="170">
        <v>0</v>
      </c>
    </row>
    <row r="33" spans="1:21">
      <c r="A33" s="151" t="str">
        <f t="shared" si="0"/>
        <v>2</v>
      </c>
      <c r="B33" s="167">
        <f>'kif to eKif'!$K$1</f>
        <v>2202</v>
      </c>
      <c r="C33" s="167">
        <v>32</v>
      </c>
      <c r="D33" s="168">
        <v>1</v>
      </c>
      <c r="E33" s="167">
        <f>'kif to eKif'!$D32</f>
        <v>22111</v>
      </c>
      <c r="F33" s="169">
        <f>'kif to eKif'!H32</f>
        <v>44608</v>
      </c>
      <c r="G33" s="167" t="str">
        <f>'kif to eKif'!A32</f>
        <v>"Mercator BH" Trgovina na veliko i malo d.o.o. Sarajevo</v>
      </c>
      <c r="H33" t="str">
        <f>VLOOKUP('kif to eKif'!B32,kupciInfoKif,8,)</f>
        <v>Sarajevo</v>
      </c>
      <c r="I33" s="2" t="str">
        <f>VLOOKUP('kif to eKif'!B32,kupciInfoKif,4,)</f>
        <v>200841110009</v>
      </c>
      <c r="J33" s="2" t="str">
        <f>VLOOKUP('kif to eKif'!B32,kupciInfoKif,5,)</f>
        <v>4200841110009</v>
      </c>
      <c r="K33" s="170">
        <f>'kif to eKif'!G32</f>
        <v>34.42</v>
      </c>
      <c r="L33" s="170">
        <v>0</v>
      </c>
      <c r="M33" s="170">
        <v>0</v>
      </c>
      <c r="N33" s="170">
        <v>0</v>
      </c>
      <c r="O33" s="170">
        <f>'kif to eKif'!E32</f>
        <v>29.42</v>
      </c>
      <c r="P33" s="170">
        <f>'kif to eKif'!F32</f>
        <v>5</v>
      </c>
      <c r="Q33" s="170">
        <v>0</v>
      </c>
      <c r="R33" s="170">
        <v>0</v>
      </c>
      <c r="S33" s="170">
        <v>0</v>
      </c>
      <c r="T33" s="170">
        <v>0</v>
      </c>
      <c r="U33" s="170">
        <v>0</v>
      </c>
    </row>
    <row r="34" spans="1:21">
      <c r="A34" s="151" t="str">
        <f t="shared" si="0"/>
        <v>2</v>
      </c>
      <c r="B34" s="167">
        <f>'kif to eKif'!$K$1</f>
        <v>2202</v>
      </c>
      <c r="C34" s="167">
        <v>33</v>
      </c>
      <c r="D34" s="168">
        <v>1</v>
      </c>
      <c r="E34" s="167">
        <f>'kif to eKif'!$D33</f>
        <v>22112</v>
      </c>
      <c r="F34" s="169">
        <f>'kif to eKif'!H33</f>
        <v>44608</v>
      </c>
      <c r="G34" s="167" t="str">
        <f>'kif to eKif'!A33</f>
        <v>BINGO d.o.o. Tuzla</v>
      </c>
      <c r="H34" t="str">
        <f>VLOOKUP('kif to eKif'!B33,kupciInfoKif,8,)</f>
        <v>Tuzla</v>
      </c>
      <c r="I34" s="2">
        <f>VLOOKUP('kif to eKif'!B33,kupciInfoKif,4,)</f>
        <v>209253450003</v>
      </c>
      <c r="J34" s="2">
        <f>VLOOKUP('kif to eKif'!B33,kupciInfoKif,5,)</f>
        <v>4209253450003</v>
      </c>
      <c r="K34" s="170">
        <f>'kif to eKif'!G33</f>
        <v>226.21</v>
      </c>
      <c r="L34" s="170">
        <v>0</v>
      </c>
      <c r="M34" s="170">
        <v>0</v>
      </c>
      <c r="N34" s="170">
        <v>0</v>
      </c>
      <c r="O34" s="170">
        <f>'kif to eKif'!E33</f>
        <v>193.34</v>
      </c>
      <c r="P34" s="170">
        <f>'kif to eKif'!F33</f>
        <v>32.869999999999997</v>
      </c>
      <c r="Q34" s="170">
        <v>0</v>
      </c>
      <c r="R34" s="170">
        <v>0</v>
      </c>
      <c r="S34" s="170">
        <v>0</v>
      </c>
      <c r="T34" s="170">
        <v>0</v>
      </c>
      <c r="U34" s="170">
        <v>0</v>
      </c>
    </row>
    <row r="35" spans="1:21">
      <c r="A35" s="151" t="str">
        <f t="shared" si="0"/>
        <v>2</v>
      </c>
      <c r="B35" s="167">
        <f>'kif to eKif'!$K$1</f>
        <v>2202</v>
      </c>
      <c r="C35" s="167">
        <v>34</v>
      </c>
      <c r="D35" s="168">
        <v>1</v>
      </c>
      <c r="E35" s="167">
        <f>'kif to eKif'!$D34</f>
        <v>22113</v>
      </c>
      <c r="F35" s="169">
        <f>'kif to eKif'!H34</f>
        <v>44608</v>
      </c>
      <c r="G35" s="167" t="str">
        <f>'kif to eKif'!A34</f>
        <v>BINGO d.o.o. Tuzla</v>
      </c>
      <c r="H35" t="str">
        <f>VLOOKUP('kif to eKif'!B34,kupciInfoKif,8,)</f>
        <v>Tuzla</v>
      </c>
      <c r="I35" s="2">
        <f>VLOOKUP('kif to eKif'!B34,kupciInfoKif,4,)</f>
        <v>209253450003</v>
      </c>
      <c r="J35" s="2">
        <f>VLOOKUP('kif to eKif'!B34,kupciInfoKif,5,)</f>
        <v>4209253450003</v>
      </c>
      <c r="K35" s="170">
        <f>'kif to eKif'!G34</f>
        <v>35.17</v>
      </c>
      <c r="L35" s="170">
        <v>0</v>
      </c>
      <c r="M35" s="170">
        <v>0</v>
      </c>
      <c r="N35" s="170">
        <v>0</v>
      </c>
      <c r="O35" s="170">
        <f>'kif to eKif'!E34</f>
        <v>30.06</v>
      </c>
      <c r="P35" s="170">
        <f>'kif to eKif'!F34</f>
        <v>5.1100000000000003</v>
      </c>
      <c r="Q35" s="170">
        <v>0</v>
      </c>
      <c r="R35" s="170">
        <v>0</v>
      </c>
      <c r="S35" s="170">
        <v>0</v>
      </c>
      <c r="T35" s="170">
        <v>0</v>
      </c>
      <c r="U35" s="170">
        <v>0</v>
      </c>
    </row>
    <row r="36" spans="1:21">
      <c r="A36" s="151" t="str">
        <f t="shared" si="0"/>
        <v>2</v>
      </c>
      <c r="B36" s="167">
        <f>'kif to eKif'!$K$1</f>
        <v>2202</v>
      </c>
      <c r="C36" s="167">
        <v>35</v>
      </c>
      <c r="D36" s="168">
        <v>1</v>
      </c>
      <c r="E36" s="167">
        <f>'kif to eKif'!$D35</f>
        <v>22114</v>
      </c>
      <c r="F36" s="169">
        <f>'kif to eKif'!H35</f>
        <v>44608</v>
      </c>
      <c r="G36" s="167" t="str">
        <f>'kif to eKif'!A35</f>
        <v>Zelenara trgovinska radnja</v>
      </c>
      <c r="H36" t="str">
        <f>VLOOKUP('kif to eKif'!B35,kupciInfoKif,8,)</f>
        <v>I.Sarajevo</v>
      </c>
      <c r="I36" s="2">
        <f>VLOOKUP('kif to eKif'!B35,kupciInfoKif,4,)</f>
        <v>507894200008</v>
      </c>
      <c r="J36" s="2">
        <f>VLOOKUP('kif to eKif'!B35,kupciInfoKif,5,)</f>
        <v>4507894200008</v>
      </c>
      <c r="K36" s="170">
        <f>'kif to eKif'!G35</f>
        <v>16.84</v>
      </c>
      <c r="L36" s="170">
        <v>0</v>
      </c>
      <c r="M36" s="170">
        <v>0</v>
      </c>
      <c r="N36" s="170">
        <v>0</v>
      </c>
      <c r="O36" s="170">
        <f>'kif to eKif'!E35</f>
        <v>14.39</v>
      </c>
      <c r="P36" s="170">
        <f>'kif to eKif'!F35</f>
        <v>2.4500000000000002</v>
      </c>
      <c r="Q36" s="170">
        <v>0</v>
      </c>
      <c r="R36" s="170">
        <v>0</v>
      </c>
      <c r="S36" s="170">
        <v>0</v>
      </c>
      <c r="T36" s="170">
        <v>0</v>
      </c>
      <c r="U36" s="170">
        <v>0</v>
      </c>
    </row>
    <row r="37" spans="1:21">
      <c r="A37" s="151" t="str">
        <f t="shared" si="0"/>
        <v>2</v>
      </c>
      <c r="B37" s="167">
        <f>'kif to eKif'!$K$1</f>
        <v>2202</v>
      </c>
      <c r="C37" s="167">
        <v>36</v>
      </c>
      <c r="D37" s="168">
        <v>1</v>
      </c>
      <c r="E37" s="167">
        <f>'kif to eKif'!$D36</f>
        <v>22115</v>
      </c>
      <c r="F37" s="169">
        <f>'kif to eKif'!H36</f>
        <v>44608</v>
      </c>
      <c r="G37" s="167" t="str">
        <f>'kif to eKif'!A36</f>
        <v>BINGO d.o.o. Tuzla</v>
      </c>
      <c r="H37" t="str">
        <f>VLOOKUP('kif to eKif'!B36,kupciInfoKif,8,)</f>
        <v>Sarajevo</v>
      </c>
      <c r="I37" s="2">
        <f>VLOOKUP('kif to eKif'!B36,kupciInfoKif,4,)</f>
        <v>209253450003</v>
      </c>
      <c r="J37" s="2">
        <f>VLOOKUP('kif to eKif'!B36,kupciInfoKif,5,)</f>
        <v>4209253450003</v>
      </c>
      <c r="K37" s="170">
        <f>'kif to eKif'!G36</f>
        <v>205.41</v>
      </c>
      <c r="L37" s="170">
        <v>0</v>
      </c>
      <c r="M37" s="170">
        <v>0</v>
      </c>
      <c r="N37" s="170">
        <v>0</v>
      </c>
      <c r="O37" s="170">
        <f>'kif to eKif'!E36</f>
        <v>175.56</v>
      </c>
      <c r="P37" s="170">
        <f>'kif to eKif'!F36</f>
        <v>29.85</v>
      </c>
      <c r="Q37" s="170">
        <v>0</v>
      </c>
      <c r="R37" s="170">
        <v>0</v>
      </c>
      <c r="S37" s="170">
        <v>0</v>
      </c>
      <c r="T37" s="170">
        <v>0</v>
      </c>
      <c r="U37" s="170">
        <v>0</v>
      </c>
    </row>
    <row r="38" spans="1:21">
      <c r="A38" s="151" t="str">
        <f t="shared" si="0"/>
        <v>2</v>
      </c>
      <c r="B38" s="167">
        <f>'kif to eKif'!$K$1</f>
        <v>2202</v>
      </c>
      <c r="C38" s="167">
        <v>53</v>
      </c>
      <c r="D38" s="168">
        <v>1</v>
      </c>
      <c r="E38" s="167">
        <f>'kif to eKif'!$D37</f>
        <v>22116</v>
      </c>
      <c r="F38" s="169">
        <f>'kif to eKif'!H37</f>
        <v>44608</v>
      </c>
      <c r="G38" s="167" t="str">
        <f>'kif to eKif'!A37</f>
        <v>Zelenara trgovinska radnja</v>
      </c>
      <c r="H38" t="str">
        <f>VLOOKUP('kif to eKif'!B37,kupciInfoKif,8,)</f>
        <v>I.Sarajevo</v>
      </c>
      <c r="I38" s="2">
        <f>VLOOKUP('kif to eKif'!B37,kupciInfoKif,4,)</f>
        <v>507894200008</v>
      </c>
      <c r="J38" s="2">
        <f>VLOOKUP('kif to eKif'!B37,kupciInfoKif,5,)</f>
        <v>4507894200008</v>
      </c>
      <c r="K38" s="170">
        <f>'kif to eKif'!G37</f>
        <v>73.64</v>
      </c>
      <c r="L38" s="170">
        <v>0</v>
      </c>
      <c r="M38" s="170">
        <v>0</v>
      </c>
      <c r="N38" s="170">
        <v>0</v>
      </c>
      <c r="O38" s="170">
        <f>'kif to eKif'!E37</f>
        <v>62.94</v>
      </c>
      <c r="P38" s="170">
        <f>'kif to eKif'!F37</f>
        <v>10.7</v>
      </c>
      <c r="Q38" s="170">
        <v>0</v>
      </c>
      <c r="R38" s="170">
        <v>0</v>
      </c>
      <c r="S38" s="170">
        <v>0</v>
      </c>
      <c r="T38" s="170">
        <v>0</v>
      </c>
      <c r="U38" s="170">
        <v>0</v>
      </c>
    </row>
    <row r="39" spans="1:21">
      <c r="A39" s="151" t="str">
        <f t="shared" si="0"/>
        <v>2</v>
      </c>
      <c r="B39" s="167">
        <f>'kif to eKif'!$K$1</f>
        <v>2202</v>
      </c>
      <c r="C39" s="167">
        <v>54</v>
      </c>
      <c r="D39" s="168">
        <v>1</v>
      </c>
      <c r="E39" s="167">
        <f>'kif to eKif'!$D38</f>
        <v>22117</v>
      </c>
      <c r="F39" s="169">
        <f>'kif to eKif'!H38</f>
        <v>44608</v>
      </c>
      <c r="G39" s="167" t="str">
        <f>'kif to eKif'!A38</f>
        <v xml:space="preserve">Lounge bar "Shane" Nedeljko Bakula </v>
      </c>
      <c r="H39" t="str">
        <f>VLOOKUP('kif to eKif'!B38,kupciInfoKif,8,)</f>
        <v>Sarajevo</v>
      </c>
      <c r="I39" s="2" t="str">
        <f>VLOOKUP('kif to eKif'!B38,kupciInfoKif,4,)</f>
        <v>511428370006</v>
      </c>
      <c r="J39" s="2" t="str">
        <f>VLOOKUP('kif to eKif'!B38,kupciInfoKif,5,)</f>
        <v>4511428370006</v>
      </c>
      <c r="K39" s="170">
        <f>'kif to eKif'!G38</f>
        <v>22.14</v>
      </c>
      <c r="L39" s="170">
        <v>0</v>
      </c>
      <c r="M39" s="170">
        <v>0</v>
      </c>
      <c r="N39" s="170">
        <v>0</v>
      </c>
      <c r="O39" s="170">
        <f>'kif to eKif'!E38</f>
        <v>18.920000000000002</v>
      </c>
      <c r="P39" s="170">
        <f>'kif to eKif'!F38</f>
        <v>3.22</v>
      </c>
      <c r="Q39" s="170">
        <v>0</v>
      </c>
      <c r="R39" s="170">
        <v>0</v>
      </c>
      <c r="S39" s="170">
        <v>0</v>
      </c>
      <c r="T39" s="170">
        <v>0</v>
      </c>
      <c r="U39" s="170">
        <v>0</v>
      </c>
    </row>
    <row r="40" spans="1:21">
      <c r="A40" s="151" t="str">
        <f t="shared" si="0"/>
        <v>2</v>
      </c>
      <c r="B40" s="167">
        <f>'kif to eKif'!$K$1</f>
        <v>2202</v>
      </c>
      <c r="C40" s="167">
        <v>55</v>
      </c>
      <c r="D40" s="168">
        <v>1</v>
      </c>
      <c r="E40" s="167">
        <f>'kif to eKif'!$D39</f>
        <v>22118</v>
      </c>
      <c r="F40" s="169">
        <f>'kif to eKif'!H39</f>
        <v>44608</v>
      </c>
      <c r="G40" s="167" t="str">
        <f>'kif to eKif'!A39</f>
        <v>UR "4Sobe Gospođe Safije"</v>
      </c>
      <c r="H40" t="str">
        <f>VLOOKUP('kif to eKif'!B39,kupciInfoKif,8,)</f>
        <v>Sarajevo</v>
      </c>
      <c r="I40" s="2">
        <f>VLOOKUP('kif to eKif'!B39,kupciInfoKif,4,)</f>
        <v>301676190001</v>
      </c>
      <c r="J40" s="2">
        <f>VLOOKUP('kif to eKif'!B39,kupciInfoKif,5,)</f>
        <v>4301676190001</v>
      </c>
      <c r="K40" s="170">
        <f>'kif to eKif'!G39</f>
        <v>21.53</v>
      </c>
      <c r="L40" s="170">
        <v>0</v>
      </c>
      <c r="M40" s="170">
        <v>0</v>
      </c>
      <c r="N40" s="170">
        <v>0</v>
      </c>
      <c r="O40" s="170">
        <f>'kif to eKif'!E39</f>
        <v>18.399999999999999</v>
      </c>
      <c r="P40" s="170">
        <f>'kif to eKif'!F39</f>
        <v>3.13</v>
      </c>
      <c r="Q40" s="170">
        <v>0</v>
      </c>
      <c r="R40" s="170">
        <v>0</v>
      </c>
      <c r="S40" s="170">
        <v>0</v>
      </c>
      <c r="T40" s="170">
        <v>0</v>
      </c>
      <c r="U40" s="170">
        <v>0</v>
      </c>
    </row>
    <row r="41" spans="1:21">
      <c r="A41" s="151" t="str">
        <f t="shared" si="0"/>
        <v>2</v>
      </c>
      <c r="B41" s="167">
        <f>'kif to eKif'!$K$1</f>
        <v>2202</v>
      </c>
      <c r="C41" s="167">
        <v>56</v>
      </c>
      <c r="D41" s="168">
        <v>1</v>
      </c>
      <c r="E41" s="167">
        <f>'kif to eKif'!$D40</f>
        <v>22119</v>
      </c>
      <c r="F41" s="169">
        <f>'kif to eKif'!H40</f>
        <v>44608</v>
      </c>
      <c r="G41" s="167" t="str">
        <f>'kif to eKif'!A40</f>
        <v>A&amp;G D.O.O.</v>
      </c>
      <c r="H41" t="str">
        <f>VLOOKUP('kif to eKif'!B40,kupciInfoKif,8,)</f>
        <v>Istočna Ilidža</v>
      </c>
      <c r="I41" s="2">
        <f>VLOOKUP('kif to eKif'!B40,kupciInfoKif,4,)</f>
        <v>0</v>
      </c>
      <c r="J41" s="2">
        <f>VLOOKUP('kif to eKif'!B40,kupciInfoKif,5,)</f>
        <v>4404706890007</v>
      </c>
      <c r="K41" s="170">
        <f>'kif to eKif'!G40</f>
        <v>79.13</v>
      </c>
      <c r="L41" s="170">
        <v>0</v>
      </c>
      <c r="M41" s="170">
        <v>0</v>
      </c>
      <c r="N41" s="170">
        <v>0</v>
      </c>
      <c r="O41" s="170">
        <f>'kif to eKif'!E40</f>
        <v>67.63</v>
      </c>
      <c r="P41" s="170">
        <f>'kif to eKif'!F40</f>
        <v>11.5</v>
      </c>
      <c r="Q41" s="170">
        <v>0</v>
      </c>
      <c r="R41" s="170">
        <v>0</v>
      </c>
      <c r="S41" s="170">
        <v>0</v>
      </c>
      <c r="T41" s="170">
        <v>0</v>
      </c>
      <c r="U41" s="170">
        <v>0</v>
      </c>
    </row>
    <row r="42" spans="1:21">
      <c r="A42" s="151" t="str">
        <f t="shared" si="0"/>
        <v>2</v>
      </c>
      <c r="B42" s="167">
        <f>'kif to eKif'!$K$1</f>
        <v>2202</v>
      </c>
      <c r="C42" s="167">
        <v>57</v>
      </c>
      <c r="D42" s="168">
        <v>1</v>
      </c>
      <c r="E42" s="167">
        <f>'kif to eKif'!$D41</f>
        <v>22120</v>
      </c>
      <c r="F42" s="169">
        <f>'kif to eKif'!H41</f>
        <v>44608</v>
      </c>
      <c r="G42" s="167" t="str">
        <f>'kif to eKif'!A41</f>
        <v>UR "BAOLI" Sarajevo</v>
      </c>
      <c r="H42" t="str">
        <f>VLOOKUP('kif to eKif'!B41,kupciInfoKif,8,)</f>
        <v>Sarajevo</v>
      </c>
      <c r="I42" s="2" t="str">
        <f>VLOOKUP('kif to eKif'!B41,kupciInfoKif,4,)</f>
        <v>303430690008</v>
      </c>
      <c r="J42" s="2" t="str">
        <f>VLOOKUP('kif to eKif'!B41,kupciInfoKif,5,)</f>
        <v>4303430690008</v>
      </c>
      <c r="K42" s="170">
        <f>'kif to eKif'!G41</f>
        <v>61.57</v>
      </c>
      <c r="L42" s="170">
        <v>0</v>
      </c>
      <c r="M42" s="170">
        <v>0</v>
      </c>
      <c r="N42" s="170">
        <v>0</v>
      </c>
      <c r="O42" s="170">
        <f>'kif to eKif'!E41</f>
        <v>52.62</v>
      </c>
      <c r="P42" s="170">
        <f>'kif to eKif'!F41</f>
        <v>8.9499999999999993</v>
      </c>
      <c r="Q42" s="170">
        <v>0</v>
      </c>
      <c r="R42" s="170">
        <v>0</v>
      </c>
      <c r="S42" s="170">
        <v>0</v>
      </c>
      <c r="T42" s="170">
        <v>0</v>
      </c>
      <c r="U42" s="170">
        <v>0</v>
      </c>
    </row>
    <row r="43" spans="1:21">
      <c r="A43" s="151" t="str">
        <f t="shared" si="0"/>
        <v>2</v>
      </c>
      <c r="B43" s="167">
        <f>'kif to eKif'!$K$1</f>
        <v>2202</v>
      </c>
      <c r="C43" s="167">
        <v>58</v>
      </c>
      <c r="D43" s="168">
        <v>1</v>
      </c>
      <c r="E43" s="167">
        <f>'kif to eKif'!$D42</f>
        <v>22121</v>
      </c>
      <c r="F43" s="169">
        <f>'kif to eKif'!H42</f>
        <v>44608</v>
      </c>
      <c r="G43" s="167" t="str">
        <f>'kif to eKif'!A42</f>
        <v>UR "Park Prinčeva"</v>
      </c>
      <c r="H43" t="str">
        <f>VLOOKUP('kif to eKif'!B42,kupciInfoKif,8,)</f>
        <v>Sarajevo</v>
      </c>
      <c r="I43" s="2">
        <f>VLOOKUP('kif to eKif'!B42,kupciInfoKif,4,)</f>
        <v>301174760009</v>
      </c>
      <c r="J43" s="2">
        <f>VLOOKUP('kif to eKif'!B42,kupciInfoKif,5,)</f>
        <v>4301174760009</v>
      </c>
      <c r="K43" s="170">
        <f>'kif to eKif'!G42</f>
        <v>41.98</v>
      </c>
      <c r="L43" s="170">
        <v>0</v>
      </c>
      <c r="M43" s="170">
        <v>0</v>
      </c>
      <c r="N43" s="170">
        <v>0</v>
      </c>
      <c r="O43" s="170">
        <f>'kif to eKif'!E42</f>
        <v>35.880000000000003</v>
      </c>
      <c r="P43" s="170">
        <f>'kif to eKif'!F42</f>
        <v>6.1</v>
      </c>
      <c r="Q43" s="170">
        <v>0</v>
      </c>
      <c r="R43" s="170">
        <v>0</v>
      </c>
      <c r="S43" s="170">
        <v>0</v>
      </c>
      <c r="T43" s="170">
        <v>0</v>
      </c>
      <c r="U43" s="170">
        <v>0</v>
      </c>
    </row>
    <row r="44" spans="1:21">
      <c r="A44" s="151" t="str">
        <f t="shared" si="0"/>
        <v>2</v>
      </c>
      <c r="B44" s="167">
        <f>'kif to eKif'!$K$1</f>
        <v>2202</v>
      </c>
      <c r="C44" s="167">
        <v>59</v>
      </c>
      <c r="D44" s="168">
        <v>1</v>
      </c>
      <c r="E44" s="167">
        <f>'kif to eKif'!$D43</f>
        <v>22122</v>
      </c>
      <c r="F44" s="169">
        <f>'kif to eKif'!H43</f>
        <v>44608</v>
      </c>
      <c r="G44" s="167" t="str">
        <f>'kif to eKif'!A43</f>
        <v>Knock-knock d.o.o.</v>
      </c>
      <c r="H44" t="str">
        <f>VLOOKUP('kif to eKif'!B43,kupciInfoKif,8,)</f>
        <v>Sarajevo</v>
      </c>
      <c r="I44" s="2">
        <f>VLOOKUP('kif to eKif'!B43,kupciInfoKif,4,)</f>
        <v>200019090004</v>
      </c>
      <c r="J44" s="2">
        <f>VLOOKUP('kif to eKif'!B43,kupciInfoKif,5,)</f>
        <v>4200019090004</v>
      </c>
      <c r="K44" s="170">
        <f>'kif to eKif'!G43</f>
        <v>86.11</v>
      </c>
      <c r="L44" s="170">
        <v>0</v>
      </c>
      <c r="M44" s="170">
        <v>0</v>
      </c>
      <c r="N44" s="170">
        <v>0</v>
      </c>
      <c r="O44" s="170">
        <f>'kif to eKif'!E43</f>
        <v>73.599999999999994</v>
      </c>
      <c r="P44" s="170">
        <f>'kif to eKif'!F43</f>
        <v>12.51</v>
      </c>
      <c r="Q44" s="170">
        <v>0</v>
      </c>
      <c r="R44" s="170">
        <v>0</v>
      </c>
      <c r="S44" s="170">
        <v>0</v>
      </c>
      <c r="T44" s="170">
        <v>0</v>
      </c>
      <c r="U44" s="170">
        <v>0</v>
      </c>
    </row>
    <row r="45" spans="1:21">
      <c r="A45" s="151" t="str">
        <f t="shared" si="0"/>
        <v>2</v>
      </c>
      <c r="B45" s="167">
        <f>'kif to eKif'!$K$1</f>
        <v>2202</v>
      </c>
      <c r="C45" s="167">
        <v>60</v>
      </c>
      <c r="D45" s="168">
        <v>1</v>
      </c>
      <c r="E45" s="167">
        <f>'kif to eKif'!$D44</f>
        <v>22123</v>
      </c>
      <c r="F45" s="169">
        <f>'kif to eKif'!H44</f>
        <v>44608</v>
      </c>
      <c r="G45" s="167" t="str">
        <f>'kif to eKif'!A44</f>
        <v>MORE d.o.o.</v>
      </c>
      <c r="H45" t="str">
        <f>VLOOKUP('kif to eKif'!B44,kupciInfoKif,8,)</f>
        <v>Sarajevo</v>
      </c>
      <c r="I45" s="2">
        <f>VLOOKUP('kif to eKif'!B44,kupciInfoKif,4,)</f>
        <v>0</v>
      </c>
      <c r="J45" s="2">
        <f>VLOOKUP('kif to eKif'!B44,kupciInfoKif,5,)</f>
        <v>4202967550015</v>
      </c>
      <c r="K45" s="170">
        <f>'kif to eKif'!G44</f>
        <v>28.42</v>
      </c>
      <c r="L45" s="170">
        <v>0</v>
      </c>
      <c r="M45" s="170">
        <v>0</v>
      </c>
      <c r="N45" s="170">
        <v>0</v>
      </c>
      <c r="O45" s="170">
        <f>'kif to eKif'!E44</f>
        <v>24.29</v>
      </c>
      <c r="P45" s="170">
        <f>'kif to eKif'!F44</f>
        <v>4.13</v>
      </c>
      <c r="Q45" s="170">
        <v>0</v>
      </c>
      <c r="R45" s="170">
        <v>0</v>
      </c>
      <c r="S45" s="170">
        <v>0</v>
      </c>
      <c r="T45" s="170">
        <v>0</v>
      </c>
      <c r="U45" s="170">
        <v>0</v>
      </c>
    </row>
    <row r="46" spans="1:21">
      <c r="A46" s="151" t="str">
        <f t="shared" si="0"/>
        <v>2</v>
      </c>
      <c r="B46" s="167">
        <f>'kif to eKif'!$K$1</f>
        <v>2202</v>
      </c>
      <c r="C46" s="167">
        <v>61</v>
      </c>
      <c r="D46" s="168">
        <v>1</v>
      </c>
      <c r="E46" s="167">
        <f>'kif to eKif'!$D45</f>
        <v>22124</v>
      </c>
      <c r="F46" s="169">
        <f>'kif to eKif'!H45</f>
        <v>44608</v>
      </c>
      <c r="G46" s="167" t="str">
        <f>'kif to eKif'!A45</f>
        <v>U.R. BARKA</v>
      </c>
      <c r="H46" t="str">
        <f>VLOOKUP('kif to eKif'!B45,kupciInfoKif,8,)</f>
        <v>Istočna Ilidža</v>
      </c>
      <c r="I46" s="2">
        <f>VLOOKUP('kif to eKif'!B45,kupciInfoKif,4,)</f>
        <v>501584200000</v>
      </c>
      <c r="J46" s="2">
        <f>VLOOKUP('kif to eKif'!B45,kupciInfoKif,5,)</f>
        <v>4501584200000</v>
      </c>
      <c r="K46" s="170">
        <f>'kif to eKif'!G45</f>
        <v>26.17</v>
      </c>
      <c r="L46" s="170">
        <v>0</v>
      </c>
      <c r="M46" s="170">
        <v>0</v>
      </c>
      <c r="N46" s="170">
        <v>0</v>
      </c>
      <c r="O46" s="170">
        <f>'kif to eKif'!E45</f>
        <v>22.37</v>
      </c>
      <c r="P46" s="170">
        <f>'kif to eKif'!F45</f>
        <v>3.8</v>
      </c>
      <c r="Q46" s="170">
        <v>0</v>
      </c>
      <c r="R46" s="170">
        <v>0</v>
      </c>
      <c r="S46" s="170">
        <v>0</v>
      </c>
      <c r="T46" s="170">
        <v>0</v>
      </c>
      <c r="U46" s="170">
        <v>0</v>
      </c>
    </row>
    <row r="47" spans="1:21">
      <c r="A47" s="151" t="str">
        <f t="shared" si="0"/>
        <v>2</v>
      </c>
      <c r="B47" s="167">
        <f>'kif to eKif'!$K$1</f>
        <v>2202</v>
      </c>
      <c r="C47" s="167">
        <v>62</v>
      </c>
      <c r="D47" s="168">
        <v>1</v>
      </c>
      <c r="E47" s="167">
        <f>'kif to eKif'!$D46</f>
        <v>22125</v>
      </c>
      <c r="F47" s="169">
        <f>'kif to eKif'!H46</f>
        <v>44613</v>
      </c>
      <c r="G47" s="167" t="str">
        <f>'kif to eKif'!A46</f>
        <v xml:space="preserve">Mališić export import d.o.o </v>
      </c>
      <c r="H47" t="str">
        <f>VLOOKUP('kif to eKif'!B46,kupciInfoKif,8,)</f>
        <v>Čitluk</v>
      </c>
      <c r="I47" s="2">
        <f>VLOOKUP('kif to eKif'!B46,kupciInfoKif,4,)</f>
        <v>227019830003</v>
      </c>
      <c r="J47" s="2">
        <f>VLOOKUP('kif to eKif'!B46,kupciInfoKif,5,)</f>
        <v>4227019830003</v>
      </c>
      <c r="K47" s="170">
        <f>'kif to eKif'!G46</f>
        <v>7568.68</v>
      </c>
      <c r="L47" s="170">
        <v>0</v>
      </c>
      <c r="M47" s="170">
        <v>0</v>
      </c>
      <c r="N47" s="170">
        <v>0</v>
      </c>
      <c r="O47" s="170">
        <f>'kif to eKif'!E46</f>
        <v>6468.96</v>
      </c>
      <c r="P47" s="170">
        <f>'kif to eKif'!F46</f>
        <v>1099.72</v>
      </c>
      <c r="Q47" s="170">
        <v>0</v>
      </c>
      <c r="R47" s="170">
        <v>0</v>
      </c>
      <c r="S47" s="170">
        <v>0</v>
      </c>
      <c r="T47" s="170">
        <v>0</v>
      </c>
      <c r="U47" s="170">
        <v>0</v>
      </c>
    </row>
    <row r="48" spans="1:21">
      <c r="A48" s="151" t="str">
        <f t="shared" si="0"/>
        <v>2</v>
      </c>
      <c r="B48" s="167">
        <f>'kif to eKif'!$K$1</f>
        <v>2202</v>
      </c>
      <c r="C48" s="167">
        <v>63</v>
      </c>
      <c r="D48" s="168">
        <v>1</v>
      </c>
      <c r="E48" s="167">
        <f>'kif to eKif'!$D47</f>
        <v>22126</v>
      </c>
      <c r="F48" s="169">
        <f>'kif to eKif'!H47</f>
        <v>44615</v>
      </c>
      <c r="G48" s="167" t="str">
        <f>'kif to eKif'!A47</f>
        <v>"Mercator BH" Trgovina na veliko i malo d.o.o. Sarajevo</v>
      </c>
      <c r="H48" t="str">
        <f>VLOOKUP('kif to eKif'!B47,kupciInfoKif,8,)</f>
        <v>Sarajevo</v>
      </c>
      <c r="I48" s="2" t="str">
        <f>VLOOKUP('kif to eKif'!B47,kupciInfoKif,4,)</f>
        <v>200841110009</v>
      </c>
      <c r="J48" s="2" t="str">
        <f>VLOOKUP('kif to eKif'!B47,kupciInfoKif,5,)</f>
        <v>4200841110009</v>
      </c>
      <c r="K48" s="170">
        <f>'kif to eKif'!G47</f>
        <v>346.09</v>
      </c>
      <c r="L48" s="170">
        <v>0</v>
      </c>
      <c r="M48" s="170">
        <v>0</v>
      </c>
      <c r="N48" s="170">
        <v>0</v>
      </c>
      <c r="O48" s="170">
        <f>'kif to eKif'!E47</f>
        <v>295.8</v>
      </c>
      <c r="P48" s="170">
        <f>'kif to eKif'!F47</f>
        <v>50.29</v>
      </c>
      <c r="Q48" s="170">
        <v>0</v>
      </c>
      <c r="R48" s="170">
        <v>0</v>
      </c>
      <c r="S48" s="170">
        <v>0</v>
      </c>
      <c r="T48" s="170">
        <v>0</v>
      </c>
      <c r="U48" s="170">
        <v>0</v>
      </c>
    </row>
    <row r="49" spans="1:21">
      <c r="A49" s="151" t="str">
        <f t="shared" si="0"/>
        <v>2</v>
      </c>
      <c r="B49" s="167">
        <f>'kif to eKif'!$K$1</f>
        <v>2202</v>
      </c>
      <c r="C49" s="167">
        <v>64</v>
      </c>
      <c r="D49" s="168">
        <v>1</v>
      </c>
      <c r="E49" s="167">
        <f>'kif to eKif'!$D48</f>
        <v>22127</v>
      </c>
      <c r="F49" s="169">
        <f>'kif to eKif'!H48</f>
        <v>44615</v>
      </c>
      <c r="G49" s="167" t="str">
        <f>'kif to eKif'!A48</f>
        <v>"Mercator BH" Trgovina na veliko i malo d.o.o. Sarajevo</v>
      </c>
      <c r="H49" t="str">
        <f>VLOOKUP('kif to eKif'!B48,kupciInfoKif,8,)</f>
        <v>Sarajevo</v>
      </c>
      <c r="I49" s="2" t="str">
        <f>VLOOKUP('kif to eKif'!B48,kupciInfoKif,4,)</f>
        <v>200841110009</v>
      </c>
      <c r="J49" s="2" t="str">
        <f>VLOOKUP('kif to eKif'!B48,kupciInfoKif,5,)</f>
        <v>4200841110009</v>
      </c>
      <c r="K49" s="170">
        <f>'kif to eKif'!G48</f>
        <v>54.85</v>
      </c>
      <c r="L49" s="170">
        <v>0</v>
      </c>
      <c r="M49" s="170">
        <v>0</v>
      </c>
      <c r="N49" s="170">
        <v>0</v>
      </c>
      <c r="O49" s="170">
        <f>'kif to eKif'!E48</f>
        <v>46.88</v>
      </c>
      <c r="P49" s="170">
        <f>'kif to eKif'!F48</f>
        <v>7.97</v>
      </c>
      <c r="Q49" s="170">
        <v>0</v>
      </c>
      <c r="R49" s="170">
        <v>0</v>
      </c>
      <c r="S49" s="170">
        <v>0</v>
      </c>
      <c r="T49" s="170">
        <v>0</v>
      </c>
      <c r="U49" s="170">
        <v>0</v>
      </c>
    </row>
    <row r="50" spans="1:21">
      <c r="A50" s="151" t="str">
        <f t="shared" si="0"/>
        <v>2</v>
      </c>
      <c r="B50" s="167">
        <f>'kif to eKif'!$K$1</f>
        <v>2202</v>
      </c>
      <c r="C50" s="167">
        <v>65</v>
      </c>
      <c r="D50" s="168">
        <v>1</v>
      </c>
      <c r="E50" s="167">
        <f>'kif to eKif'!$D49</f>
        <v>22128</v>
      </c>
      <c r="F50" s="169">
        <f>'kif to eKif'!H49</f>
        <v>44615</v>
      </c>
      <c r="G50" s="167" t="str">
        <f>'kif to eKif'!A49</f>
        <v>BINGO d.o.o. Tuzla</v>
      </c>
      <c r="H50" t="str">
        <f>VLOOKUP('kif to eKif'!B49,kupciInfoKif,8,)</f>
        <v>Tuzla</v>
      </c>
      <c r="I50" s="2">
        <f>VLOOKUP('kif to eKif'!B49,kupciInfoKif,4,)</f>
        <v>209253450003</v>
      </c>
      <c r="J50" s="2">
        <f>VLOOKUP('kif to eKif'!B49,kupciInfoKif,5,)</f>
        <v>4209253450003</v>
      </c>
      <c r="K50" s="170">
        <f>'kif to eKif'!G49</f>
        <v>167.77</v>
      </c>
      <c r="L50" s="170">
        <v>0</v>
      </c>
      <c r="M50" s="170">
        <v>0</v>
      </c>
      <c r="N50" s="170">
        <v>0</v>
      </c>
      <c r="O50" s="170">
        <f>'kif to eKif'!E49</f>
        <v>143.38999999999999</v>
      </c>
      <c r="P50" s="170">
        <f>'kif to eKif'!F49</f>
        <v>24.38</v>
      </c>
      <c r="Q50" s="170">
        <v>0</v>
      </c>
      <c r="R50" s="170">
        <v>0</v>
      </c>
      <c r="S50" s="170">
        <v>0</v>
      </c>
      <c r="T50" s="170">
        <v>0</v>
      </c>
      <c r="U50" s="170">
        <v>0</v>
      </c>
    </row>
    <row r="51" spans="1:21">
      <c r="A51" s="151" t="str">
        <f t="shared" si="0"/>
        <v>2</v>
      </c>
      <c r="B51" s="167">
        <f>'kif to eKif'!$K$1</f>
        <v>2202</v>
      </c>
      <c r="C51" s="167">
        <v>66</v>
      </c>
      <c r="D51" s="168">
        <v>1</v>
      </c>
      <c r="E51" s="167">
        <f>'kif to eKif'!$D50</f>
        <v>22129</v>
      </c>
      <c r="F51" s="169">
        <f>'kif to eKif'!H50</f>
        <v>44615</v>
      </c>
      <c r="G51" s="167" t="str">
        <f>'kif to eKif'!A50</f>
        <v>BINGO d.o.o. Tuzla</v>
      </c>
      <c r="H51" t="str">
        <f>VLOOKUP('kif to eKif'!B50,kupciInfoKif,8,)</f>
        <v>Tuzla</v>
      </c>
      <c r="I51" s="2">
        <f>VLOOKUP('kif to eKif'!B50,kupciInfoKif,4,)</f>
        <v>209253450003</v>
      </c>
      <c r="J51" s="2">
        <f>VLOOKUP('kif to eKif'!B50,kupciInfoKif,5,)</f>
        <v>4209253450003</v>
      </c>
      <c r="K51" s="170">
        <f>'kif to eKif'!G50</f>
        <v>37.64</v>
      </c>
      <c r="L51" s="170">
        <v>0</v>
      </c>
      <c r="M51" s="170">
        <v>0</v>
      </c>
      <c r="N51" s="170">
        <v>0</v>
      </c>
      <c r="O51" s="170">
        <f>'kif to eKif'!E50</f>
        <v>32.17</v>
      </c>
      <c r="P51" s="170">
        <f>'kif to eKif'!F50</f>
        <v>5.47</v>
      </c>
      <c r="Q51" s="170">
        <v>0</v>
      </c>
      <c r="R51" s="170">
        <v>0</v>
      </c>
      <c r="S51" s="170">
        <v>0</v>
      </c>
      <c r="T51" s="170">
        <v>0</v>
      </c>
      <c r="U51" s="170">
        <v>0</v>
      </c>
    </row>
    <row r="52" spans="1:21">
      <c r="A52" s="151" t="str">
        <f t="shared" si="0"/>
        <v>2</v>
      </c>
      <c r="B52" s="167">
        <f>'kif to eKif'!$K$1</f>
        <v>2202</v>
      </c>
      <c r="C52" s="167">
        <v>67</v>
      </c>
      <c r="D52" s="168">
        <v>1</v>
      </c>
      <c r="E52" s="167">
        <f>'kif to eKif'!$D51</f>
        <v>22130</v>
      </c>
      <c r="F52" s="169">
        <f>'kif to eKif'!H51</f>
        <v>44615</v>
      </c>
      <c r="G52" s="167" t="str">
        <f>'kif to eKif'!A51</f>
        <v>Zelenara trgovinska radnja</v>
      </c>
      <c r="H52" t="str">
        <f>VLOOKUP('kif to eKif'!B51,kupciInfoKif,8,)</f>
        <v>I.Sarajevo</v>
      </c>
      <c r="I52" s="2">
        <f>VLOOKUP('kif to eKif'!B51,kupciInfoKif,4,)</f>
        <v>507894200008</v>
      </c>
      <c r="J52" s="2">
        <f>VLOOKUP('kif to eKif'!B51,kupciInfoKif,5,)</f>
        <v>4507894200008</v>
      </c>
      <c r="K52" s="170">
        <f>'kif to eKif'!G51</f>
        <v>53.29</v>
      </c>
      <c r="L52" s="170">
        <v>0</v>
      </c>
      <c r="M52" s="170">
        <v>0</v>
      </c>
      <c r="N52" s="170">
        <v>0</v>
      </c>
      <c r="O52" s="170">
        <f>'kif to eKif'!E51</f>
        <v>45.55</v>
      </c>
      <c r="P52" s="170">
        <f>'kif to eKif'!F51</f>
        <v>7.74</v>
      </c>
      <c r="Q52" s="170">
        <v>0</v>
      </c>
      <c r="R52" s="170">
        <v>0</v>
      </c>
      <c r="S52" s="170">
        <v>0</v>
      </c>
      <c r="T52" s="170">
        <v>0</v>
      </c>
      <c r="U52" s="170">
        <v>0</v>
      </c>
    </row>
    <row r="53" spans="1:21">
      <c r="A53" s="151" t="str">
        <f t="shared" si="0"/>
        <v>2</v>
      </c>
      <c r="B53" s="167">
        <f>'kif to eKif'!$K$1</f>
        <v>2202</v>
      </c>
      <c r="C53" s="167">
        <v>68</v>
      </c>
      <c r="D53" s="168">
        <v>1</v>
      </c>
      <c r="E53" s="167">
        <f>'kif to eKif'!$D52</f>
        <v>22131</v>
      </c>
      <c r="F53" s="169">
        <f>'kif to eKif'!H52</f>
        <v>44615</v>
      </c>
      <c r="G53" s="167" t="str">
        <f>'kif to eKif'!A52</f>
        <v>BINGO d.o.o. Tuzla</v>
      </c>
      <c r="H53" t="str">
        <f>VLOOKUP('kif to eKif'!B52,kupciInfoKif,8,)</f>
        <v>Sarajevo</v>
      </c>
      <c r="I53" s="2">
        <f>VLOOKUP('kif to eKif'!B52,kupciInfoKif,4,)</f>
        <v>209253450003</v>
      </c>
      <c r="J53" s="2">
        <f>VLOOKUP('kif to eKif'!B52,kupciInfoKif,5,)</f>
        <v>4209253450003</v>
      </c>
      <c r="K53" s="170">
        <f>'kif to eKif'!G52</f>
        <v>185.73</v>
      </c>
      <c r="L53" s="170">
        <v>0</v>
      </c>
      <c r="M53" s="170">
        <v>0</v>
      </c>
      <c r="N53" s="170">
        <v>0</v>
      </c>
      <c r="O53" s="170">
        <f>'kif to eKif'!E52</f>
        <v>158.74</v>
      </c>
      <c r="P53" s="170">
        <f>'kif to eKif'!F52</f>
        <v>26.99</v>
      </c>
      <c r="Q53" s="170">
        <v>0</v>
      </c>
      <c r="R53" s="170">
        <v>0</v>
      </c>
      <c r="S53" s="170">
        <v>0</v>
      </c>
      <c r="T53" s="170">
        <v>0</v>
      </c>
      <c r="U53" s="170">
        <v>0</v>
      </c>
    </row>
    <row r="54" spans="1:21">
      <c r="A54" s="151" t="str">
        <f t="shared" si="0"/>
        <v>2</v>
      </c>
      <c r="B54" s="167">
        <f>'kif to eKif'!$K$1</f>
        <v>2202</v>
      </c>
      <c r="C54" s="167">
        <v>69</v>
      </c>
      <c r="D54" s="168">
        <v>1</v>
      </c>
      <c r="E54" s="167">
        <f>'kif to eKif'!$D53</f>
        <v>22132</v>
      </c>
      <c r="F54" s="169">
        <f>'kif to eKif'!H53</f>
        <v>44615</v>
      </c>
      <c r="G54" s="167" t="str">
        <f>'kif to eKif'!A53</f>
        <v>Zelenara trgovinska radnja</v>
      </c>
      <c r="H54" t="str">
        <f>VLOOKUP('kif to eKif'!B53,kupciInfoKif,8,)</f>
        <v>I.Sarajevo</v>
      </c>
      <c r="I54" s="2">
        <f>VLOOKUP('kif to eKif'!B53,kupciInfoKif,4,)</f>
        <v>507894200008</v>
      </c>
      <c r="J54" s="2">
        <f>VLOOKUP('kif to eKif'!B53,kupciInfoKif,5,)</f>
        <v>4507894200008</v>
      </c>
      <c r="K54" s="170">
        <f>'kif to eKif'!G53</f>
        <v>55.66</v>
      </c>
      <c r="L54" s="170">
        <v>0</v>
      </c>
      <c r="M54" s="170">
        <v>0</v>
      </c>
      <c r="N54" s="170">
        <v>0</v>
      </c>
      <c r="O54" s="170">
        <f>'kif to eKif'!E53</f>
        <v>47.57</v>
      </c>
      <c r="P54" s="170">
        <f>'kif to eKif'!F53</f>
        <v>8.09</v>
      </c>
      <c r="Q54" s="170">
        <v>0</v>
      </c>
      <c r="R54" s="170">
        <v>0</v>
      </c>
      <c r="S54" s="170">
        <v>0</v>
      </c>
      <c r="T54" s="170">
        <v>0</v>
      </c>
      <c r="U54" s="170">
        <v>0</v>
      </c>
    </row>
    <row r="55" spans="1:21">
      <c r="A55" s="151" t="str">
        <f t="shared" si="0"/>
        <v>2</v>
      </c>
      <c r="B55" s="167">
        <f>'kif to eKif'!$K$1</f>
        <v>2202</v>
      </c>
      <c r="C55" s="167">
        <v>70</v>
      </c>
      <c r="D55" s="168">
        <v>1</v>
      </c>
      <c r="E55" s="167">
        <f>'kif to eKif'!$D54</f>
        <v>22133</v>
      </c>
      <c r="F55" s="169">
        <f>'kif to eKif'!H54</f>
        <v>44615</v>
      </c>
      <c r="G55" s="167" t="str">
        <f>'kif to eKif'!A54</f>
        <v xml:space="preserve">Lounge bar "Shane" Nedeljko Bakula </v>
      </c>
      <c r="H55" t="str">
        <f>VLOOKUP('kif to eKif'!B54,kupciInfoKif,8,)</f>
        <v>Sarajevo</v>
      </c>
      <c r="I55" s="2" t="str">
        <f>VLOOKUP('kif to eKif'!B54,kupciInfoKif,4,)</f>
        <v>511428370006</v>
      </c>
      <c r="J55" s="2" t="str">
        <f>VLOOKUP('kif to eKif'!B54,kupciInfoKif,5,)</f>
        <v>4511428370006</v>
      </c>
      <c r="K55" s="170">
        <f>'kif to eKif'!G54</f>
        <v>26.44</v>
      </c>
      <c r="L55" s="170">
        <v>0</v>
      </c>
      <c r="M55" s="170">
        <v>0</v>
      </c>
      <c r="N55" s="170">
        <v>0</v>
      </c>
      <c r="O55" s="170">
        <f>'kif to eKif'!E54</f>
        <v>22.6</v>
      </c>
      <c r="P55" s="170">
        <f>'kif to eKif'!F54</f>
        <v>3.84</v>
      </c>
      <c r="Q55" s="170">
        <v>0</v>
      </c>
      <c r="R55" s="170">
        <v>0</v>
      </c>
      <c r="S55" s="170">
        <v>0</v>
      </c>
      <c r="T55" s="170">
        <v>0</v>
      </c>
      <c r="U55" s="170">
        <v>0</v>
      </c>
    </row>
    <row r="56" spans="1:21">
      <c r="A56" s="151" t="str">
        <f t="shared" si="0"/>
        <v>2</v>
      </c>
      <c r="B56" s="167">
        <f>'kif to eKif'!$K$1</f>
        <v>2202</v>
      </c>
      <c r="C56" s="167">
        <v>71</v>
      </c>
      <c r="D56" s="168">
        <v>1</v>
      </c>
      <c r="E56" s="167">
        <f>'kif to eKif'!$D55</f>
        <v>22134</v>
      </c>
      <c r="F56" s="169">
        <f>'kif to eKif'!H55</f>
        <v>44615</v>
      </c>
      <c r="G56" s="167" t="str">
        <f>'kif to eKif'!A55</f>
        <v>UR "4Sobe Gospođe Safije"</v>
      </c>
      <c r="H56" t="str">
        <f>VLOOKUP('kif to eKif'!B55,kupciInfoKif,8,)</f>
        <v>Sarajevo</v>
      </c>
      <c r="I56" s="2">
        <f>VLOOKUP('kif to eKif'!B55,kupciInfoKif,4,)</f>
        <v>301676190001</v>
      </c>
      <c r="J56" s="2">
        <f>VLOOKUP('kif to eKif'!B55,kupciInfoKif,5,)</f>
        <v>4301676190001</v>
      </c>
      <c r="K56" s="170">
        <f>'kif to eKif'!G55</f>
        <v>25.83</v>
      </c>
      <c r="L56" s="170">
        <v>0</v>
      </c>
      <c r="M56" s="170">
        <v>0</v>
      </c>
      <c r="N56" s="170">
        <v>0</v>
      </c>
      <c r="O56" s="170">
        <f>'kif to eKif'!E55</f>
        <v>22.08</v>
      </c>
      <c r="P56" s="170">
        <f>'kif to eKif'!F55</f>
        <v>3.75</v>
      </c>
      <c r="Q56" s="170">
        <v>0</v>
      </c>
      <c r="R56" s="170">
        <v>0</v>
      </c>
      <c r="S56" s="170">
        <v>0</v>
      </c>
      <c r="T56" s="170">
        <v>0</v>
      </c>
      <c r="U56" s="170">
        <v>0</v>
      </c>
    </row>
    <row r="57" spans="1:21">
      <c r="A57" s="151" t="str">
        <f t="shared" si="0"/>
        <v>2</v>
      </c>
      <c r="B57" s="167">
        <f>'kif to eKif'!$K$1</f>
        <v>2202</v>
      </c>
      <c r="C57" s="167">
        <v>72</v>
      </c>
      <c r="D57" s="168">
        <v>1</v>
      </c>
      <c r="E57" s="167">
        <f>'kif to eKif'!$D56</f>
        <v>22135</v>
      </c>
      <c r="F57" s="169">
        <f>'kif to eKif'!H56</f>
        <v>44615</v>
      </c>
      <c r="G57" s="167" t="str">
        <f>'kif to eKif'!A56</f>
        <v>A&amp;G D.O.O.</v>
      </c>
      <c r="H57" t="str">
        <f>VLOOKUP('kif to eKif'!B56,kupciInfoKif,8,)</f>
        <v>Istočna Ilidža</v>
      </c>
      <c r="I57" s="2">
        <f>VLOOKUP('kif to eKif'!B56,kupciInfoKif,4,)</f>
        <v>0</v>
      </c>
      <c r="J57" s="2">
        <f>VLOOKUP('kif to eKif'!B56,kupciInfoKif,5,)</f>
        <v>4404706890007</v>
      </c>
      <c r="K57" s="170">
        <f>'kif to eKif'!G56</f>
        <v>79.13</v>
      </c>
      <c r="L57" s="170">
        <v>0</v>
      </c>
      <c r="M57" s="170">
        <v>0</v>
      </c>
      <c r="N57" s="170">
        <v>0</v>
      </c>
      <c r="O57" s="170">
        <f>'kif to eKif'!E56</f>
        <v>67.63</v>
      </c>
      <c r="P57" s="170">
        <f>'kif to eKif'!F56</f>
        <v>11.5</v>
      </c>
      <c r="Q57" s="170">
        <v>0</v>
      </c>
      <c r="R57" s="170">
        <v>0</v>
      </c>
      <c r="S57" s="170">
        <v>0</v>
      </c>
      <c r="T57" s="170">
        <v>0</v>
      </c>
      <c r="U57" s="170">
        <v>0</v>
      </c>
    </row>
    <row r="58" spans="1:21">
      <c r="A58" s="151" t="str">
        <f t="shared" si="0"/>
        <v>2</v>
      </c>
      <c r="B58" s="167">
        <f>'kif to eKif'!$K$1</f>
        <v>2202</v>
      </c>
      <c r="C58" s="167">
        <v>73</v>
      </c>
      <c r="D58" s="168">
        <v>1</v>
      </c>
      <c r="E58" s="167">
        <f>'kif to eKif'!$D57</f>
        <v>22136</v>
      </c>
      <c r="F58" s="169">
        <f>'kif to eKif'!H57</f>
        <v>44615</v>
      </c>
      <c r="G58" s="167" t="str">
        <f>'kif to eKif'!A57</f>
        <v>UR "BAOLI" Sarajevo</v>
      </c>
      <c r="H58" t="str">
        <f>VLOOKUP('kif to eKif'!B57,kupciInfoKif,8,)</f>
        <v>Sarajevo</v>
      </c>
      <c r="I58" s="2" t="str">
        <f>VLOOKUP('kif to eKif'!B57,kupciInfoKif,4,)</f>
        <v>303430690008</v>
      </c>
      <c r="J58" s="2" t="str">
        <f>VLOOKUP('kif to eKif'!B57,kupciInfoKif,5,)</f>
        <v>4303430690008</v>
      </c>
      <c r="K58" s="170">
        <f>'kif to eKif'!G57</f>
        <v>61.57</v>
      </c>
      <c r="L58" s="170">
        <v>0</v>
      </c>
      <c r="M58" s="170">
        <v>0</v>
      </c>
      <c r="N58" s="170">
        <v>0</v>
      </c>
      <c r="O58" s="170">
        <f>'kif to eKif'!E57</f>
        <v>52.62</v>
      </c>
      <c r="P58" s="170">
        <f>'kif to eKif'!F57</f>
        <v>8.9499999999999993</v>
      </c>
      <c r="Q58" s="170">
        <v>0</v>
      </c>
      <c r="R58" s="170">
        <v>0</v>
      </c>
      <c r="S58" s="170">
        <v>0</v>
      </c>
      <c r="T58" s="170">
        <v>0</v>
      </c>
      <c r="U58" s="170">
        <v>0</v>
      </c>
    </row>
    <row r="59" spans="1:21">
      <c r="A59" s="151" t="str">
        <f t="shared" si="0"/>
        <v>2</v>
      </c>
      <c r="B59" s="167">
        <f>'kif to eKif'!$K$1</f>
        <v>2202</v>
      </c>
      <c r="C59" s="167">
        <v>74</v>
      </c>
      <c r="D59" s="168">
        <v>1</v>
      </c>
      <c r="E59" s="167">
        <f>'kif to eKif'!$D58</f>
        <v>22137</v>
      </c>
      <c r="F59" s="169">
        <f>'kif to eKif'!H58</f>
        <v>44615</v>
      </c>
      <c r="G59" s="167" t="str">
        <f>'kif to eKif'!A58</f>
        <v>UR "Park Prinčeva"</v>
      </c>
      <c r="H59" t="str">
        <f>VLOOKUP('kif to eKif'!B58,kupciInfoKif,8,)</f>
        <v>Sarajevo</v>
      </c>
      <c r="I59" s="2">
        <f>VLOOKUP('kif to eKif'!B58,kupciInfoKif,4,)</f>
        <v>301174760009</v>
      </c>
      <c r="J59" s="2">
        <f>VLOOKUP('kif to eKif'!B58,kupciInfoKif,5,)</f>
        <v>4301174760009</v>
      </c>
      <c r="K59" s="170">
        <f>'kif to eKif'!G58</f>
        <v>41.98</v>
      </c>
      <c r="L59" s="170">
        <v>0</v>
      </c>
      <c r="M59" s="170">
        <v>0</v>
      </c>
      <c r="N59" s="170">
        <v>0</v>
      </c>
      <c r="O59" s="170">
        <f>'kif to eKif'!E58</f>
        <v>35.880000000000003</v>
      </c>
      <c r="P59" s="170">
        <f>'kif to eKif'!F58</f>
        <v>6.1</v>
      </c>
      <c r="Q59" s="170">
        <v>0</v>
      </c>
      <c r="R59" s="170">
        <v>0</v>
      </c>
      <c r="S59" s="170">
        <v>0</v>
      </c>
      <c r="T59" s="170">
        <v>0</v>
      </c>
      <c r="U59" s="170">
        <v>0</v>
      </c>
    </row>
    <row r="60" spans="1:21">
      <c r="A60" s="151" t="str">
        <f t="shared" si="0"/>
        <v>2</v>
      </c>
      <c r="B60" s="167">
        <f>'kif to eKif'!$K$1</f>
        <v>2202</v>
      </c>
      <c r="C60" s="167">
        <v>75</v>
      </c>
      <c r="D60" s="168">
        <v>1</v>
      </c>
      <c r="E60" s="167">
        <f>'kif to eKif'!$D59</f>
        <v>22138</v>
      </c>
      <c r="F60" s="169">
        <f>'kif to eKif'!H59</f>
        <v>44615</v>
      </c>
      <c r="G60" s="167" t="str">
        <f>'kif to eKif'!A59</f>
        <v>Knock-knock d.o.o.</v>
      </c>
      <c r="H60" t="str">
        <f>VLOOKUP('kif to eKif'!B59,kupciInfoKif,8,)</f>
        <v>Sarajevo</v>
      </c>
      <c r="I60" s="2">
        <f>VLOOKUP('kif to eKif'!B59,kupciInfoKif,4,)</f>
        <v>200019090004</v>
      </c>
      <c r="J60" s="2">
        <f>VLOOKUP('kif to eKif'!B59,kupciInfoKif,5,)</f>
        <v>4200019090004</v>
      </c>
      <c r="K60" s="170">
        <f>'kif to eKif'!G59</f>
        <v>86.11</v>
      </c>
      <c r="L60" s="170">
        <v>0</v>
      </c>
      <c r="M60" s="170">
        <v>0</v>
      </c>
      <c r="N60" s="170">
        <v>0</v>
      </c>
      <c r="O60" s="170">
        <f>'kif to eKif'!E59</f>
        <v>73.599999999999994</v>
      </c>
      <c r="P60" s="170">
        <f>'kif to eKif'!F59</f>
        <v>12.51</v>
      </c>
      <c r="Q60" s="170">
        <v>0</v>
      </c>
      <c r="R60" s="170">
        <v>0</v>
      </c>
      <c r="S60" s="170">
        <v>0</v>
      </c>
      <c r="T60" s="170">
        <v>0</v>
      </c>
      <c r="U60" s="170">
        <v>0</v>
      </c>
    </row>
    <row r="61" spans="1:21">
      <c r="A61" s="151" t="str">
        <f t="shared" si="0"/>
        <v>2</v>
      </c>
      <c r="B61" s="167">
        <f>'kif to eKif'!$K$1</f>
        <v>2202</v>
      </c>
      <c r="C61" s="167">
        <v>76</v>
      </c>
      <c r="D61" s="168">
        <v>1</v>
      </c>
      <c r="E61" s="167">
        <f>'kif to eKif'!$D60</f>
        <v>22139</v>
      </c>
      <c r="F61" s="169">
        <f>'kif to eKif'!H60</f>
        <v>44615</v>
      </c>
      <c r="G61" s="167" t="str">
        <f>'kif to eKif'!A60</f>
        <v>MORE d.o.o.</v>
      </c>
      <c r="H61" t="str">
        <f>VLOOKUP('kif to eKif'!B60,kupciInfoKif,8,)</f>
        <v>Sarajevo</v>
      </c>
      <c r="I61" s="2">
        <f>VLOOKUP('kif to eKif'!B60,kupciInfoKif,4,)</f>
        <v>0</v>
      </c>
      <c r="J61" s="2">
        <f>VLOOKUP('kif to eKif'!B60,kupciInfoKif,5,)</f>
        <v>4202967550015</v>
      </c>
      <c r="K61" s="170">
        <f>'kif to eKif'!G60</f>
        <v>28.42</v>
      </c>
      <c r="L61" s="170">
        <v>0</v>
      </c>
      <c r="M61" s="170">
        <v>0</v>
      </c>
      <c r="N61" s="170">
        <v>0</v>
      </c>
      <c r="O61" s="170">
        <f>'kif to eKif'!E60</f>
        <v>24.29</v>
      </c>
      <c r="P61" s="170">
        <f>'kif to eKif'!F60</f>
        <v>4.13</v>
      </c>
      <c r="Q61" s="170">
        <v>0</v>
      </c>
      <c r="R61" s="170">
        <v>0</v>
      </c>
      <c r="S61" s="170">
        <v>0</v>
      </c>
      <c r="T61" s="170">
        <v>0</v>
      </c>
      <c r="U61" s="170">
        <v>0</v>
      </c>
    </row>
    <row r="62" spans="1:21">
      <c r="A62" s="151" t="str">
        <f t="shared" si="0"/>
        <v>2</v>
      </c>
      <c r="B62" s="167">
        <f>'kif to eKif'!$K$1</f>
        <v>2202</v>
      </c>
      <c r="C62" s="167">
        <v>77</v>
      </c>
      <c r="D62" s="168">
        <v>1</v>
      </c>
      <c r="E62" s="167">
        <f>'kif to eKif'!$D61</f>
        <v>22140</v>
      </c>
      <c r="F62" s="169">
        <f>'kif to eKif'!H61</f>
        <v>44615</v>
      </c>
      <c r="G62" s="167" t="str">
        <f>'kif to eKif'!A61</f>
        <v>U.R. BARKA</v>
      </c>
      <c r="H62" t="str">
        <f>VLOOKUP('kif to eKif'!B61,kupciInfoKif,8,)</f>
        <v>Istočna Ilidža</v>
      </c>
      <c r="I62" s="2">
        <f>VLOOKUP('kif to eKif'!B61,kupciInfoKif,4,)</f>
        <v>501584200000</v>
      </c>
      <c r="J62" s="2">
        <f>VLOOKUP('kif to eKif'!B61,kupciInfoKif,5,)</f>
        <v>4501584200000</v>
      </c>
      <c r="K62" s="170">
        <f>'kif to eKif'!G61</f>
        <v>26.17</v>
      </c>
      <c r="L62" s="170">
        <v>0</v>
      </c>
      <c r="M62" s="170">
        <v>0</v>
      </c>
      <c r="N62" s="170">
        <v>0</v>
      </c>
      <c r="O62" s="170">
        <f>'kif to eKif'!E61</f>
        <v>22.37</v>
      </c>
      <c r="P62" s="170">
        <f>'kif to eKif'!F61</f>
        <v>3.8</v>
      </c>
      <c r="Q62" s="170">
        <v>0</v>
      </c>
      <c r="R62" s="170">
        <v>0</v>
      </c>
      <c r="S62" s="170">
        <v>0</v>
      </c>
      <c r="T62" s="170">
        <v>0</v>
      </c>
      <c r="U62" s="170">
        <v>0</v>
      </c>
    </row>
    <row r="63" spans="1:21">
      <c r="A63" s="151" t="str">
        <f t="shared" si="0"/>
        <v>2</v>
      </c>
      <c r="B63" s="167">
        <f>'kif to eKif'!$K$1</f>
        <v>2202</v>
      </c>
      <c r="C63" s="167">
        <v>78</v>
      </c>
      <c r="D63" s="168">
        <v>1</v>
      </c>
      <c r="E63" s="167">
        <f>'kif to eKif'!$D62</f>
        <v>0</v>
      </c>
      <c r="F63" s="169">
        <f>'kif to eKif'!H62</f>
        <v>0</v>
      </c>
      <c r="G63" s="167">
        <f>'kif to eKif'!A62</f>
        <v>0</v>
      </c>
      <c r="H63" t="e">
        <f>VLOOKUP('kif to eKif'!B62,kupciInfoKif,8,)</f>
        <v>#N/A</v>
      </c>
      <c r="I63" s="2" t="e">
        <f>VLOOKUP('kif to eKif'!B62,kupciInfoKif,4,)</f>
        <v>#N/A</v>
      </c>
      <c r="J63" s="2" t="e">
        <f>VLOOKUP('kif to eKif'!B62,kupciInfoKif,5,)</f>
        <v>#N/A</v>
      </c>
      <c r="K63" s="170">
        <f>'kif to eKif'!G62</f>
        <v>0</v>
      </c>
      <c r="L63" s="170">
        <v>0</v>
      </c>
      <c r="M63" s="170">
        <v>0</v>
      </c>
      <c r="N63" s="170">
        <v>0</v>
      </c>
      <c r="O63" s="170">
        <f>'kif to eKif'!E62</f>
        <v>0</v>
      </c>
      <c r="P63" s="170">
        <f>'kif to eKif'!F62</f>
        <v>0</v>
      </c>
      <c r="Q63" s="170">
        <v>0</v>
      </c>
      <c r="R63" s="170">
        <v>0</v>
      </c>
      <c r="S63" s="170">
        <v>0</v>
      </c>
      <c r="T63" s="170">
        <v>0</v>
      </c>
      <c r="U63" s="170">
        <v>0</v>
      </c>
    </row>
    <row r="64" spans="1:21">
      <c r="A64" s="151" t="str">
        <f t="shared" si="0"/>
        <v>2</v>
      </c>
      <c r="B64" s="167">
        <f>'kif to eKif'!$K$1</f>
        <v>2202</v>
      </c>
      <c r="C64" s="167">
        <v>79</v>
      </c>
      <c r="D64" s="168">
        <v>1</v>
      </c>
      <c r="E64" s="167">
        <f>'kif to eKif'!$D63</f>
        <v>0</v>
      </c>
      <c r="F64" s="169">
        <f>'kif to eKif'!H63</f>
        <v>0</v>
      </c>
      <c r="G64" s="167">
        <f>'kif to eKif'!A63</f>
        <v>0</v>
      </c>
      <c r="H64" t="e">
        <f>VLOOKUP('kif to eKif'!B63,kupciInfoKif,8,)</f>
        <v>#N/A</v>
      </c>
      <c r="I64" s="2" t="e">
        <f>VLOOKUP('kif to eKif'!B63,kupciInfoKif,4,)</f>
        <v>#N/A</v>
      </c>
      <c r="J64" s="2" t="e">
        <f>VLOOKUP('kif to eKif'!B63,kupciInfoKif,5,)</f>
        <v>#N/A</v>
      </c>
      <c r="K64" s="170">
        <f>'kif to eKif'!G63</f>
        <v>0</v>
      </c>
      <c r="L64" s="170">
        <v>0</v>
      </c>
      <c r="M64" s="170">
        <v>0</v>
      </c>
      <c r="N64" s="170">
        <v>0</v>
      </c>
      <c r="O64" s="170">
        <f>'kif to eKif'!E63</f>
        <v>0</v>
      </c>
      <c r="P64" s="170">
        <f>'kif to eKif'!F63</f>
        <v>0</v>
      </c>
      <c r="Q64" s="170">
        <v>0</v>
      </c>
      <c r="R64" s="170">
        <v>0</v>
      </c>
      <c r="S64" s="170">
        <v>0</v>
      </c>
      <c r="T64" s="170">
        <v>0</v>
      </c>
      <c r="U64" s="170">
        <v>0</v>
      </c>
    </row>
    <row r="65" spans="1:21">
      <c r="A65" s="151" t="str">
        <f t="shared" si="0"/>
        <v>2</v>
      </c>
      <c r="B65" s="167">
        <f>'kif to eKif'!$K$1</f>
        <v>2202</v>
      </c>
      <c r="C65" s="167">
        <v>80</v>
      </c>
      <c r="D65" s="168">
        <v>1</v>
      </c>
      <c r="E65" s="167">
        <f>'kif to eKif'!$D64</f>
        <v>0</v>
      </c>
      <c r="F65" s="169">
        <f>'kif to eKif'!H64</f>
        <v>0</v>
      </c>
      <c r="G65" s="167">
        <f>'kif to eKif'!A64</f>
        <v>0</v>
      </c>
      <c r="H65" t="e">
        <f>VLOOKUP('kif to eKif'!B64,kupciInfoKif,8,)</f>
        <v>#N/A</v>
      </c>
      <c r="I65" s="2" t="e">
        <f>VLOOKUP('kif to eKif'!B64,kupciInfoKif,4,)</f>
        <v>#N/A</v>
      </c>
      <c r="J65" s="2" t="e">
        <f>VLOOKUP('kif to eKif'!B64,kupciInfoKif,5,)</f>
        <v>#N/A</v>
      </c>
      <c r="K65" s="170">
        <f>'kif to eKif'!G64</f>
        <v>0</v>
      </c>
      <c r="L65" s="170">
        <v>0</v>
      </c>
      <c r="M65" s="170">
        <v>0</v>
      </c>
      <c r="N65" s="170">
        <v>0</v>
      </c>
      <c r="O65" s="170">
        <f>'kif to eKif'!E64</f>
        <v>0</v>
      </c>
      <c r="P65" s="170">
        <f>'kif to eKif'!F64</f>
        <v>0</v>
      </c>
      <c r="Q65" s="170">
        <v>0</v>
      </c>
      <c r="R65" s="170">
        <v>0</v>
      </c>
      <c r="S65" s="170">
        <v>0</v>
      </c>
      <c r="T65" s="170">
        <v>0</v>
      </c>
      <c r="U65" s="170">
        <v>0</v>
      </c>
    </row>
    <row r="66" spans="1:21">
      <c r="A66" s="151" t="str">
        <f t="shared" si="0"/>
        <v>2</v>
      </c>
      <c r="B66" s="167">
        <f>'kif to eKif'!$K$1</f>
        <v>2202</v>
      </c>
      <c r="C66" s="167">
        <v>81</v>
      </c>
      <c r="D66" s="168">
        <v>1</v>
      </c>
      <c r="E66" s="167">
        <f>'kif to eKif'!$D65</f>
        <v>0</v>
      </c>
      <c r="F66" s="169">
        <f>'kif to eKif'!H65</f>
        <v>0</v>
      </c>
      <c r="G66" s="167">
        <f>'kif to eKif'!A65</f>
        <v>0</v>
      </c>
      <c r="H66" t="e">
        <f>VLOOKUP('kif to eKif'!B65,kupciInfoKif,8,)</f>
        <v>#N/A</v>
      </c>
      <c r="I66" s="2" t="e">
        <f>VLOOKUP('kif to eKif'!B65,kupciInfoKif,4,)</f>
        <v>#N/A</v>
      </c>
      <c r="J66" s="2" t="e">
        <f>VLOOKUP('kif to eKif'!B65,kupciInfoKif,5,)</f>
        <v>#N/A</v>
      </c>
      <c r="K66" s="170">
        <f>'kif to eKif'!G65</f>
        <v>0</v>
      </c>
      <c r="L66" s="170">
        <v>0</v>
      </c>
      <c r="M66" s="170">
        <v>0</v>
      </c>
      <c r="N66" s="170">
        <v>0</v>
      </c>
      <c r="O66" s="170">
        <f>'kif to eKif'!E65</f>
        <v>0</v>
      </c>
      <c r="P66" s="170">
        <f>'kif to eKif'!F65</f>
        <v>0</v>
      </c>
      <c r="Q66" s="170">
        <v>0</v>
      </c>
      <c r="R66" s="170">
        <v>0</v>
      </c>
      <c r="S66" s="170">
        <v>0</v>
      </c>
      <c r="T66" s="170">
        <v>0</v>
      </c>
      <c r="U66" s="170">
        <v>0</v>
      </c>
    </row>
    <row r="67" spans="1:21">
      <c r="A67" s="151" t="str">
        <f t="shared" ref="A67:A83" si="1">IF(ISBLANK(B67),"","2")</f>
        <v>2</v>
      </c>
      <c r="B67" s="167">
        <f>'kif to eKif'!$K$1</f>
        <v>2202</v>
      </c>
      <c r="C67" s="167">
        <v>82</v>
      </c>
      <c r="D67" s="168">
        <v>1</v>
      </c>
      <c r="E67" s="167">
        <f>'kif to eKif'!$D66</f>
        <v>0</v>
      </c>
      <c r="F67" s="169">
        <f>'kif to eKif'!H66</f>
        <v>0</v>
      </c>
      <c r="G67" s="167">
        <f>'kif to eKif'!A66</f>
        <v>0</v>
      </c>
      <c r="H67" t="e">
        <f>VLOOKUP('kif to eKif'!B66,kupciInfoKif,8,)</f>
        <v>#N/A</v>
      </c>
      <c r="I67" s="2" t="e">
        <f>VLOOKUP('kif to eKif'!B66,kupciInfoKif,4,)</f>
        <v>#N/A</v>
      </c>
      <c r="J67" s="2" t="e">
        <f>VLOOKUP('kif to eKif'!B66,kupciInfoKif,5,)</f>
        <v>#N/A</v>
      </c>
      <c r="K67" s="170">
        <f>'kif to eKif'!G66</f>
        <v>0</v>
      </c>
      <c r="L67" s="170">
        <v>0</v>
      </c>
      <c r="M67" s="170">
        <v>0</v>
      </c>
      <c r="N67" s="170">
        <v>0</v>
      </c>
      <c r="O67" s="170">
        <f>'kif to eKif'!E66</f>
        <v>0</v>
      </c>
      <c r="P67" s="170">
        <f>'kif to eKif'!F66</f>
        <v>0</v>
      </c>
      <c r="Q67" s="170">
        <v>0</v>
      </c>
      <c r="R67" s="170">
        <v>0</v>
      </c>
      <c r="S67" s="170">
        <v>0</v>
      </c>
      <c r="T67" s="170">
        <v>0</v>
      </c>
      <c r="U67" s="170">
        <v>0</v>
      </c>
    </row>
    <row r="68" spans="1:21">
      <c r="A68" s="151" t="str">
        <f t="shared" si="1"/>
        <v>2</v>
      </c>
      <c r="B68" s="167">
        <f>'kif to eKif'!$K$1</f>
        <v>2202</v>
      </c>
      <c r="C68" s="167">
        <v>83</v>
      </c>
      <c r="D68" s="168">
        <v>1</v>
      </c>
      <c r="E68" s="167">
        <f>'kif to eKif'!$D67</f>
        <v>0</v>
      </c>
      <c r="F68" s="169">
        <f>'kif to eKif'!H67</f>
        <v>0</v>
      </c>
      <c r="G68" s="167">
        <f>'kif to eKif'!A67</f>
        <v>0</v>
      </c>
      <c r="H68" t="e">
        <f>VLOOKUP('kif to eKif'!B67,kupciInfoKif,8,)</f>
        <v>#N/A</v>
      </c>
      <c r="I68" s="2" t="e">
        <f>VLOOKUP('kif to eKif'!B67,kupciInfoKif,4,)</f>
        <v>#N/A</v>
      </c>
      <c r="J68" s="2" t="e">
        <f>VLOOKUP('kif to eKif'!B67,kupciInfoKif,5,)</f>
        <v>#N/A</v>
      </c>
      <c r="K68" s="170">
        <f>'kif to eKif'!G67</f>
        <v>0</v>
      </c>
      <c r="L68" s="170">
        <v>0</v>
      </c>
      <c r="M68" s="170">
        <v>0</v>
      </c>
      <c r="N68" s="170">
        <v>0</v>
      </c>
      <c r="O68" s="170">
        <f>'kif to eKif'!E67</f>
        <v>0</v>
      </c>
      <c r="P68" s="170">
        <f>'kif to eKif'!F67</f>
        <v>0</v>
      </c>
      <c r="Q68" s="170">
        <v>0</v>
      </c>
      <c r="R68" s="170">
        <v>0</v>
      </c>
      <c r="S68" s="170">
        <v>0</v>
      </c>
      <c r="T68" s="170">
        <v>0</v>
      </c>
      <c r="U68" s="170">
        <v>0</v>
      </c>
    </row>
    <row r="69" spans="1:21">
      <c r="A69" s="151" t="str">
        <f t="shared" si="1"/>
        <v>2</v>
      </c>
      <c r="B69" s="167">
        <f>'kif to eKif'!$K$1</f>
        <v>2202</v>
      </c>
      <c r="C69" s="167">
        <v>84</v>
      </c>
      <c r="D69" s="168">
        <v>1</v>
      </c>
      <c r="E69" s="167">
        <f>'kif to eKif'!$D68</f>
        <v>0</v>
      </c>
      <c r="F69" s="169">
        <f>'kif to eKif'!H68</f>
        <v>0</v>
      </c>
      <c r="G69" s="167">
        <f>'kif to eKif'!A68</f>
        <v>0</v>
      </c>
      <c r="H69" t="e">
        <f>VLOOKUP('kif to eKif'!B68,kupciInfoKif,8,)</f>
        <v>#N/A</v>
      </c>
      <c r="I69" s="2" t="e">
        <f>VLOOKUP('kif to eKif'!B68,kupciInfoKif,4,)</f>
        <v>#N/A</v>
      </c>
      <c r="J69" s="2" t="e">
        <f>VLOOKUP('kif to eKif'!B68,kupciInfoKif,5,)</f>
        <v>#N/A</v>
      </c>
      <c r="K69" s="170">
        <f>'kif to eKif'!G68</f>
        <v>0</v>
      </c>
      <c r="L69" s="170">
        <v>0</v>
      </c>
      <c r="M69" s="170">
        <v>0</v>
      </c>
      <c r="N69" s="170">
        <v>0</v>
      </c>
      <c r="O69" s="170">
        <f>'kif to eKif'!E68</f>
        <v>0</v>
      </c>
      <c r="P69" s="170">
        <f>'kif to eKif'!F68</f>
        <v>0</v>
      </c>
      <c r="Q69" s="170">
        <v>0</v>
      </c>
      <c r="R69" s="170">
        <v>0</v>
      </c>
      <c r="S69" s="170">
        <v>0</v>
      </c>
      <c r="T69" s="170">
        <v>0</v>
      </c>
      <c r="U69" s="170">
        <v>0</v>
      </c>
    </row>
    <row r="70" spans="1:21">
      <c r="A70" s="151" t="str">
        <f t="shared" si="1"/>
        <v>2</v>
      </c>
      <c r="B70" s="167">
        <f>'kif to eKif'!$K$1</f>
        <v>2202</v>
      </c>
      <c r="C70" s="167">
        <v>85</v>
      </c>
      <c r="D70" s="168">
        <v>1</v>
      </c>
      <c r="E70" s="167">
        <f>'kif to eKif'!$D69</f>
        <v>0</v>
      </c>
      <c r="F70" s="169">
        <f>'kif to eKif'!H69</f>
        <v>0</v>
      </c>
      <c r="G70" s="167">
        <f>'kif to eKif'!A69</f>
        <v>0</v>
      </c>
      <c r="H70" t="e">
        <f>VLOOKUP('kif to eKif'!B69,kupciInfoKif,8,)</f>
        <v>#N/A</v>
      </c>
      <c r="I70" s="2" t="e">
        <f>VLOOKUP('kif to eKif'!B69,kupciInfoKif,4,)</f>
        <v>#N/A</v>
      </c>
      <c r="J70" s="2" t="e">
        <f>VLOOKUP('kif to eKif'!B69,kupciInfoKif,5,)</f>
        <v>#N/A</v>
      </c>
      <c r="K70" s="170">
        <f>'kif to eKif'!G69</f>
        <v>0</v>
      </c>
      <c r="L70" s="170">
        <v>0</v>
      </c>
      <c r="M70" s="170">
        <v>0</v>
      </c>
      <c r="N70" s="170">
        <v>0</v>
      </c>
      <c r="O70" s="170">
        <f>'kif to eKif'!E69</f>
        <v>0</v>
      </c>
      <c r="P70" s="170">
        <f>'kif to eKif'!F69</f>
        <v>0</v>
      </c>
      <c r="Q70" s="170">
        <v>0</v>
      </c>
      <c r="R70" s="170">
        <v>0</v>
      </c>
      <c r="S70" s="170">
        <v>0</v>
      </c>
      <c r="T70" s="170">
        <v>0</v>
      </c>
      <c r="U70" s="170">
        <v>0</v>
      </c>
    </row>
    <row r="71" spans="1:21">
      <c r="A71" s="151" t="str">
        <f t="shared" si="1"/>
        <v>2</v>
      </c>
      <c r="B71" s="167">
        <f>'kif to eKif'!$K$1</f>
        <v>2202</v>
      </c>
      <c r="C71" s="167">
        <v>86</v>
      </c>
      <c r="D71" s="168">
        <v>1</v>
      </c>
      <c r="E71" s="167">
        <f>'kif to eKif'!$D70</f>
        <v>0</v>
      </c>
      <c r="F71" s="169">
        <f>'kif to eKif'!H70</f>
        <v>0</v>
      </c>
      <c r="G71" s="167">
        <f>'kif to eKif'!A70</f>
        <v>0</v>
      </c>
      <c r="H71" t="e">
        <f>VLOOKUP('kif to eKif'!B70,kupciInfoKif,8,)</f>
        <v>#N/A</v>
      </c>
      <c r="I71" s="2" t="e">
        <f>VLOOKUP('kif to eKif'!B70,kupciInfoKif,4,)</f>
        <v>#N/A</v>
      </c>
      <c r="J71" s="2" t="e">
        <f>VLOOKUP('kif to eKif'!B70,kupciInfoKif,5,)</f>
        <v>#N/A</v>
      </c>
      <c r="K71" s="170">
        <f>'kif to eKif'!G70</f>
        <v>0</v>
      </c>
      <c r="L71" s="170">
        <v>0</v>
      </c>
      <c r="M71" s="170">
        <v>0</v>
      </c>
      <c r="N71" s="170">
        <v>0</v>
      </c>
      <c r="O71" s="170">
        <f>'kif to eKif'!E70</f>
        <v>0</v>
      </c>
      <c r="P71" s="170">
        <f>'kif to eKif'!F70</f>
        <v>0</v>
      </c>
      <c r="Q71" s="170">
        <v>0</v>
      </c>
      <c r="R71" s="170">
        <v>0</v>
      </c>
      <c r="S71" s="170">
        <v>0</v>
      </c>
      <c r="T71" s="170">
        <v>0</v>
      </c>
      <c r="U71" s="170">
        <v>0</v>
      </c>
    </row>
    <row r="72" spans="1:21">
      <c r="A72" s="151" t="str">
        <f t="shared" si="1"/>
        <v>2</v>
      </c>
      <c r="B72" s="167">
        <f>'kif to eKif'!$K$1</f>
        <v>2202</v>
      </c>
      <c r="C72" s="167">
        <v>87</v>
      </c>
      <c r="D72" s="168">
        <v>1</v>
      </c>
      <c r="E72" s="167">
        <f>'kif to eKif'!$D71</f>
        <v>0</v>
      </c>
      <c r="F72" s="169">
        <f>'kif to eKif'!H71</f>
        <v>0</v>
      </c>
      <c r="G72" s="167">
        <f>'kif to eKif'!A71</f>
        <v>0</v>
      </c>
      <c r="H72" t="e">
        <f>VLOOKUP('kif to eKif'!B71,kupciInfoKif,8,)</f>
        <v>#N/A</v>
      </c>
      <c r="I72" s="2" t="e">
        <f>VLOOKUP('kif to eKif'!B71,kupciInfoKif,4,)</f>
        <v>#N/A</v>
      </c>
      <c r="J72" s="2" t="e">
        <f>VLOOKUP('kif to eKif'!B71,kupciInfoKif,5,)</f>
        <v>#N/A</v>
      </c>
      <c r="K72" s="170">
        <f>'kif to eKif'!G71</f>
        <v>0</v>
      </c>
      <c r="L72" s="170">
        <v>0</v>
      </c>
      <c r="M72" s="170">
        <v>0</v>
      </c>
      <c r="N72" s="170">
        <v>0</v>
      </c>
      <c r="O72" s="170">
        <f>'kif to eKif'!E71</f>
        <v>0</v>
      </c>
      <c r="P72" s="170">
        <f>'kif to eKif'!F71</f>
        <v>0</v>
      </c>
      <c r="Q72" s="170">
        <v>0</v>
      </c>
      <c r="R72" s="170">
        <v>0</v>
      </c>
      <c r="S72" s="170">
        <v>0</v>
      </c>
      <c r="T72" s="170">
        <v>0</v>
      </c>
      <c r="U72" s="170">
        <v>0</v>
      </c>
    </row>
    <row r="73" spans="1:21">
      <c r="A73" s="151" t="str">
        <f t="shared" si="1"/>
        <v>2</v>
      </c>
      <c r="B73" s="167">
        <f>'kif to eKif'!$K$1</f>
        <v>2202</v>
      </c>
      <c r="C73" s="167">
        <v>88</v>
      </c>
      <c r="D73" s="168">
        <v>1</v>
      </c>
      <c r="E73" s="167">
        <f>'kif to eKif'!$D72</f>
        <v>0</v>
      </c>
      <c r="F73" s="169">
        <f>'kif to eKif'!H72</f>
        <v>0</v>
      </c>
      <c r="G73" s="167">
        <f>'kif to eKif'!A72</f>
        <v>0</v>
      </c>
      <c r="H73" t="e">
        <f>VLOOKUP('kif to eKif'!B72,kupciInfoKif,8,)</f>
        <v>#N/A</v>
      </c>
      <c r="I73" s="2" t="e">
        <f>VLOOKUP('kif to eKif'!B72,kupciInfoKif,4,)</f>
        <v>#N/A</v>
      </c>
      <c r="J73" s="2" t="e">
        <f>VLOOKUP('kif to eKif'!B72,kupciInfoKif,5,)</f>
        <v>#N/A</v>
      </c>
      <c r="K73" s="170">
        <f>'kif to eKif'!G72</f>
        <v>0</v>
      </c>
      <c r="L73" s="170">
        <v>0</v>
      </c>
      <c r="M73" s="170">
        <v>0</v>
      </c>
      <c r="N73" s="170">
        <v>0</v>
      </c>
      <c r="O73" s="170">
        <f>'kif to eKif'!E72</f>
        <v>0</v>
      </c>
      <c r="P73" s="170">
        <f>'kif to eKif'!F72</f>
        <v>0</v>
      </c>
      <c r="Q73" s="170">
        <v>0</v>
      </c>
      <c r="R73" s="170">
        <v>0</v>
      </c>
      <c r="S73" s="170">
        <v>0</v>
      </c>
      <c r="T73" s="170">
        <v>0</v>
      </c>
      <c r="U73" s="170">
        <v>0</v>
      </c>
    </row>
    <row r="74" spans="1:21">
      <c r="A74" s="151" t="str">
        <f t="shared" si="1"/>
        <v>2</v>
      </c>
      <c r="B74" s="167">
        <f>'kif to eKif'!$K$1</f>
        <v>2202</v>
      </c>
      <c r="C74" s="167">
        <v>89</v>
      </c>
      <c r="D74" s="168">
        <v>1</v>
      </c>
      <c r="E74" s="167">
        <f>'kif to eKif'!$D73</f>
        <v>0</v>
      </c>
      <c r="F74" s="169">
        <f>'kif to eKif'!H73</f>
        <v>0</v>
      </c>
      <c r="G74" s="167">
        <f>'kif to eKif'!A73</f>
        <v>0</v>
      </c>
      <c r="H74" t="e">
        <f>VLOOKUP('kif to eKif'!B73,kupciInfoKif,8,)</f>
        <v>#N/A</v>
      </c>
      <c r="I74" s="2" t="e">
        <f>VLOOKUP('kif to eKif'!B73,kupciInfoKif,4,)</f>
        <v>#N/A</v>
      </c>
      <c r="J74" s="2" t="e">
        <f>VLOOKUP('kif to eKif'!B73,kupciInfoKif,5,)</f>
        <v>#N/A</v>
      </c>
      <c r="K74" s="170">
        <f>'kif to eKif'!G73</f>
        <v>0</v>
      </c>
      <c r="L74" s="170">
        <v>0</v>
      </c>
      <c r="M74" s="170">
        <v>0</v>
      </c>
      <c r="N74" s="170">
        <v>0</v>
      </c>
      <c r="O74" s="170">
        <f>'kif to eKif'!E73</f>
        <v>0</v>
      </c>
      <c r="P74" s="170">
        <f>'kif to eKif'!F73</f>
        <v>0</v>
      </c>
      <c r="Q74" s="170">
        <v>0</v>
      </c>
      <c r="R74" s="170">
        <v>0</v>
      </c>
      <c r="S74" s="170">
        <v>0</v>
      </c>
      <c r="T74" s="170">
        <v>0</v>
      </c>
      <c r="U74" s="170">
        <v>0</v>
      </c>
    </row>
    <row r="75" spans="1:21">
      <c r="A75" s="151" t="str">
        <f t="shared" si="1"/>
        <v>2</v>
      </c>
      <c r="B75" s="167">
        <f>'kif to eKif'!$K$1</f>
        <v>2202</v>
      </c>
      <c r="C75" s="167">
        <v>90</v>
      </c>
      <c r="D75" s="168">
        <v>1</v>
      </c>
      <c r="E75" s="167">
        <f>'kif to eKif'!$D74</f>
        <v>0</v>
      </c>
      <c r="F75" s="169">
        <f>'kif to eKif'!H74</f>
        <v>0</v>
      </c>
      <c r="G75" s="167">
        <f>'kif to eKif'!A74</f>
        <v>0</v>
      </c>
      <c r="H75" t="e">
        <f>VLOOKUP('kif to eKif'!B74,kupciInfoKif,8,)</f>
        <v>#N/A</v>
      </c>
      <c r="I75" s="2" t="e">
        <f>VLOOKUP('kif to eKif'!B74,kupciInfoKif,4,)</f>
        <v>#N/A</v>
      </c>
      <c r="J75" s="2" t="e">
        <f>VLOOKUP('kif to eKif'!B74,kupciInfoKif,5,)</f>
        <v>#N/A</v>
      </c>
      <c r="K75" s="170">
        <f>'kif to eKif'!G74</f>
        <v>0</v>
      </c>
      <c r="L75" s="170">
        <v>0</v>
      </c>
      <c r="M75" s="170">
        <v>0</v>
      </c>
      <c r="N75" s="170">
        <v>0</v>
      </c>
      <c r="O75" s="170">
        <f>'kif to eKif'!E74</f>
        <v>0</v>
      </c>
      <c r="P75" s="170">
        <f>'kif to eKif'!F74</f>
        <v>0</v>
      </c>
      <c r="Q75" s="170">
        <v>0</v>
      </c>
      <c r="R75" s="170">
        <v>0</v>
      </c>
      <c r="S75" s="170">
        <v>0</v>
      </c>
      <c r="T75" s="170">
        <v>0</v>
      </c>
      <c r="U75" s="170">
        <v>0</v>
      </c>
    </row>
    <row r="76" spans="1:21">
      <c r="A76" s="151" t="str">
        <f t="shared" si="1"/>
        <v>2</v>
      </c>
      <c r="B76" s="167">
        <f>'kif to eKif'!$K$1</f>
        <v>2202</v>
      </c>
      <c r="C76" s="167">
        <v>91</v>
      </c>
      <c r="D76" s="168">
        <v>1</v>
      </c>
      <c r="E76" s="167">
        <f>'kif to eKif'!$D75</f>
        <v>0</v>
      </c>
      <c r="F76" s="169">
        <f>'kif to eKif'!H75</f>
        <v>0</v>
      </c>
      <c r="G76" s="167">
        <f>'kif to eKif'!A75</f>
        <v>0</v>
      </c>
      <c r="H76" t="e">
        <f>VLOOKUP('kif to eKif'!B75,kupciInfoKif,8,)</f>
        <v>#N/A</v>
      </c>
      <c r="I76" s="2" t="e">
        <f>VLOOKUP('kif to eKif'!B75,kupciInfoKif,4,)</f>
        <v>#N/A</v>
      </c>
      <c r="J76" s="2" t="e">
        <f>VLOOKUP('kif to eKif'!B75,kupciInfoKif,5,)</f>
        <v>#N/A</v>
      </c>
      <c r="K76" s="170">
        <f>'kif to eKif'!G75</f>
        <v>0</v>
      </c>
      <c r="L76" s="170">
        <v>0</v>
      </c>
      <c r="M76" s="170">
        <v>0</v>
      </c>
      <c r="N76" s="170">
        <v>0</v>
      </c>
      <c r="O76" s="170">
        <f>'kif to eKif'!E75</f>
        <v>0</v>
      </c>
      <c r="P76" s="170">
        <f>'kif to eKif'!F75</f>
        <v>0</v>
      </c>
      <c r="Q76" s="170">
        <v>0</v>
      </c>
      <c r="R76" s="170">
        <v>0</v>
      </c>
      <c r="S76" s="170">
        <v>0</v>
      </c>
      <c r="T76" s="170">
        <v>0</v>
      </c>
      <c r="U76" s="170">
        <v>0</v>
      </c>
    </row>
    <row r="77" spans="1:21">
      <c r="A77" s="151" t="str">
        <f t="shared" si="1"/>
        <v>2</v>
      </c>
      <c r="B77" s="167">
        <f>'kif to eKif'!$K$1</f>
        <v>2202</v>
      </c>
      <c r="C77" s="167">
        <v>92</v>
      </c>
      <c r="D77" s="168">
        <v>1</v>
      </c>
      <c r="E77" s="167">
        <f>'kif to eKif'!$D76</f>
        <v>0</v>
      </c>
      <c r="F77" s="169">
        <f>'kif to eKif'!H76</f>
        <v>0</v>
      </c>
      <c r="G77" s="167">
        <f>'kif to eKif'!A76</f>
        <v>0</v>
      </c>
      <c r="H77" t="e">
        <f>VLOOKUP('kif to eKif'!B76,kupciInfoKif,8,)</f>
        <v>#N/A</v>
      </c>
      <c r="I77" s="2" t="e">
        <f>VLOOKUP('kif to eKif'!B76,kupciInfoKif,4,)</f>
        <v>#N/A</v>
      </c>
      <c r="J77" s="2" t="e">
        <f>VLOOKUP('kif to eKif'!B76,kupciInfoKif,5,)</f>
        <v>#N/A</v>
      </c>
      <c r="K77" s="170">
        <f>'kif to eKif'!G76</f>
        <v>0</v>
      </c>
      <c r="L77" s="170">
        <v>0</v>
      </c>
      <c r="M77" s="170">
        <v>0</v>
      </c>
      <c r="N77" s="170">
        <v>0</v>
      </c>
      <c r="O77" s="170">
        <f>'kif to eKif'!E76</f>
        <v>0</v>
      </c>
      <c r="P77" s="170">
        <f>'kif to eKif'!F76</f>
        <v>0</v>
      </c>
      <c r="Q77" s="170">
        <v>0</v>
      </c>
      <c r="R77" s="170">
        <v>0</v>
      </c>
      <c r="S77" s="170">
        <v>0</v>
      </c>
      <c r="T77" s="170">
        <v>0</v>
      </c>
      <c r="U77" s="170">
        <v>0</v>
      </c>
    </row>
    <row r="78" spans="1:21">
      <c r="A78" s="151" t="str">
        <f t="shared" si="1"/>
        <v>2</v>
      </c>
      <c r="B78" s="167">
        <f>'kif to eKif'!$K$1</f>
        <v>2202</v>
      </c>
      <c r="C78" s="167">
        <v>93</v>
      </c>
      <c r="D78" s="168">
        <v>1</v>
      </c>
      <c r="E78" s="167">
        <f>'kif to eKif'!$D77</f>
        <v>0</v>
      </c>
      <c r="F78" s="169">
        <f>'kif to eKif'!H77</f>
        <v>0</v>
      </c>
      <c r="G78" s="167">
        <f>'kif to eKif'!A77</f>
        <v>0</v>
      </c>
      <c r="H78" t="e">
        <f>VLOOKUP('kif to eKif'!B77,kupciInfoKif,8,)</f>
        <v>#N/A</v>
      </c>
      <c r="I78" s="2" t="e">
        <f>VLOOKUP('kif to eKif'!B77,kupciInfoKif,4,)</f>
        <v>#N/A</v>
      </c>
      <c r="J78" s="2" t="e">
        <f>VLOOKUP('kif to eKif'!B77,kupciInfoKif,5,)</f>
        <v>#N/A</v>
      </c>
      <c r="K78" s="170">
        <f>'kif to eKif'!G77</f>
        <v>0</v>
      </c>
      <c r="L78" s="170">
        <v>0</v>
      </c>
      <c r="M78" s="170">
        <v>0</v>
      </c>
      <c r="N78" s="170">
        <v>0</v>
      </c>
      <c r="O78" s="170">
        <f>'kif to eKif'!E77</f>
        <v>0</v>
      </c>
      <c r="P78" s="170">
        <f>'kif to eKif'!F77</f>
        <v>0</v>
      </c>
      <c r="Q78" s="170">
        <v>0</v>
      </c>
      <c r="R78" s="170">
        <v>0</v>
      </c>
      <c r="S78" s="170">
        <v>0</v>
      </c>
      <c r="T78" s="170">
        <v>0</v>
      </c>
      <c r="U78" s="170">
        <v>0</v>
      </c>
    </row>
    <row r="79" spans="1:21">
      <c r="A79" s="151" t="str">
        <f t="shared" si="1"/>
        <v>2</v>
      </c>
      <c r="B79" s="167">
        <f>'kif to eKif'!$K$1</f>
        <v>2202</v>
      </c>
      <c r="C79" s="167">
        <v>94</v>
      </c>
      <c r="D79" s="168">
        <v>1</v>
      </c>
      <c r="E79" s="167">
        <f>'kif to eKif'!$D78</f>
        <v>0</v>
      </c>
      <c r="F79" s="169">
        <f>'kif to eKif'!H78</f>
        <v>0</v>
      </c>
      <c r="G79" s="167">
        <f>'kif to eKif'!A78</f>
        <v>0</v>
      </c>
      <c r="H79" t="e">
        <f>VLOOKUP('kif to eKif'!B78,kupciInfoKif,8,)</f>
        <v>#N/A</v>
      </c>
      <c r="I79" s="2" t="e">
        <f>VLOOKUP('kif to eKif'!B78,kupciInfoKif,4,)</f>
        <v>#N/A</v>
      </c>
      <c r="J79" s="2" t="e">
        <f>VLOOKUP('kif to eKif'!B78,kupciInfoKif,5,)</f>
        <v>#N/A</v>
      </c>
      <c r="K79" s="170">
        <f>'kif to eKif'!G78</f>
        <v>0</v>
      </c>
      <c r="L79" s="170">
        <v>0</v>
      </c>
      <c r="M79" s="170">
        <v>0</v>
      </c>
      <c r="N79" s="170">
        <v>0</v>
      </c>
      <c r="O79" s="170">
        <f>'kif to eKif'!E78</f>
        <v>0</v>
      </c>
      <c r="P79" s="170">
        <f>'kif to eKif'!F78</f>
        <v>0</v>
      </c>
      <c r="Q79" s="170">
        <v>0</v>
      </c>
      <c r="R79" s="170">
        <v>0</v>
      </c>
      <c r="S79" s="170">
        <v>0</v>
      </c>
      <c r="T79" s="170">
        <v>0</v>
      </c>
      <c r="U79" s="170">
        <v>0</v>
      </c>
    </row>
    <row r="80" spans="1:21">
      <c r="A80" s="151" t="str">
        <f t="shared" si="1"/>
        <v>2</v>
      </c>
      <c r="B80" s="167">
        <f>'kif to eKif'!$K$1</f>
        <v>2202</v>
      </c>
      <c r="C80" s="167">
        <v>95</v>
      </c>
      <c r="D80" s="168">
        <v>1</v>
      </c>
      <c r="E80" s="167">
        <f>'kif to eKif'!$D79</f>
        <v>0</v>
      </c>
      <c r="F80" s="169">
        <f>'kif to eKif'!H79</f>
        <v>0</v>
      </c>
      <c r="G80" s="167">
        <f>'kif to eKif'!A79</f>
        <v>0</v>
      </c>
      <c r="H80" t="e">
        <f>VLOOKUP('kif to eKif'!B79,kupciInfoKif,8,)</f>
        <v>#N/A</v>
      </c>
      <c r="I80" s="2" t="e">
        <f>VLOOKUP('kif to eKif'!B79,kupciInfoKif,4,)</f>
        <v>#N/A</v>
      </c>
      <c r="J80" s="2" t="e">
        <f>VLOOKUP('kif to eKif'!B79,kupciInfoKif,5,)</f>
        <v>#N/A</v>
      </c>
      <c r="K80" s="170">
        <f>'kif to eKif'!G79</f>
        <v>0</v>
      </c>
      <c r="L80" s="170">
        <v>0</v>
      </c>
      <c r="M80" s="170">
        <v>0</v>
      </c>
      <c r="N80" s="170">
        <v>0</v>
      </c>
      <c r="O80" s="170">
        <f>'kif to eKif'!E79</f>
        <v>0</v>
      </c>
      <c r="P80" s="170">
        <f>'kif to eKif'!F79</f>
        <v>0</v>
      </c>
      <c r="Q80" s="170">
        <v>0</v>
      </c>
      <c r="R80" s="170">
        <v>0</v>
      </c>
      <c r="S80" s="170">
        <v>0</v>
      </c>
      <c r="T80" s="170">
        <v>0</v>
      </c>
      <c r="U80" s="170">
        <v>0</v>
      </c>
    </row>
    <row r="81" spans="1:21">
      <c r="A81" s="151" t="str">
        <f t="shared" si="1"/>
        <v>2</v>
      </c>
      <c r="B81" s="167">
        <f>'kif to eKif'!$K$1</f>
        <v>2202</v>
      </c>
      <c r="C81" s="167">
        <v>96</v>
      </c>
      <c r="D81" s="168">
        <v>1</v>
      </c>
      <c r="E81" s="167">
        <f>'kif to eKif'!$D80</f>
        <v>0</v>
      </c>
      <c r="F81" s="169">
        <f>'kif to eKif'!H80</f>
        <v>0</v>
      </c>
      <c r="G81" s="167">
        <f>'kif to eKif'!A80</f>
        <v>0</v>
      </c>
      <c r="H81" t="e">
        <f>VLOOKUP('kif to eKif'!B80,kupciInfoKif,8,)</f>
        <v>#N/A</v>
      </c>
      <c r="I81" s="2" t="e">
        <f>VLOOKUP('kif to eKif'!B80,kupciInfoKif,4,)</f>
        <v>#N/A</v>
      </c>
      <c r="J81" s="2" t="e">
        <f>VLOOKUP('kif to eKif'!B80,kupciInfoKif,5,)</f>
        <v>#N/A</v>
      </c>
      <c r="K81" s="170">
        <f>'kif to eKif'!G80</f>
        <v>0</v>
      </c>
      <c r="L81" s="170">
        <v>0</v>
      </c>
      <c r="M81" s="170">
        <v>0</v>
      </c>
      <c r="N81" s="170">
        <v>0</v>
      </c>
      <c r="O81" s="170">
        <f>'kif to eKif'!E80</f>
        <v>0</v>
      </c>
      <c r="P81" s="170">
        <f>'kif to eKif'!F80</f>
        <v>0</v>
      </c>
      <c r="Q81" s="170">
        <v>0</v>
      </c>
      <c r="R81" s="170">
        <v>0</v>
      </c>
      <c r="S81" s="170">
        <v>0</v>
      </c>
      <c r="T81" s="170">
        <v>0</v>
      </c>
      <c r="U81" s="170">
        <v>0</v>
      </c>
    </row>
    <row r="82" spans="1:21">
      <c r="A82" s="151" t="str">
        <f t="shared" si="1"/>
        <v>2</v>
      </c>
      <c r="B82" s="167">
        <f>'kif to eKif'!$K$1</f>
        <v>2202</v>
      </c>
      <c r="C82" s="167">
        <v>97</v>
      </c>
      <c r="D82" s="168">
        <v>1</v>
      </c>
      <c r="E82" s="167">
        <f>'kif to eKif'!$D81</f>
        <v>0</v>
      </c>
      <c r="F82" s="169">
        <f>'kif to eKif'!H81</f>
        <v>0</v>
      </c>
      <c r="G82" s="167">
        <f>'kif to eKif'!A81</f>
        <v>0</v>
      </c>
      <c r="H82" t="e">
        <f>VLOOKUP('kif to eKif'!B81,kupciInfoKif,8,)</f>
        <v>#N/A</v>
      </c>
      <c r="I82" s="2" t="e">
        <f>VLOOKUP('kif to eKif'!B81,kupciInfoKif,4,)</f>
        <v>#N/A</v>
      </c>
      <c r="J82" s="2" t="e">
        <f>VLOOKUP('kif to eKif'!B81,kupciInfoKif,5,)</f>
        <v>#N/A</v>
      </c>
      <c r="K82" s="170">
        <f>'kif to eKif'!G81</f>
        <v>0</v>
      </c>
      <c r="L82" s="170">
        <v>0</v>
      </c>
      <c r="M82" s="170">
        <v>0</v>
      </c>
      <c r="N82" s="170">
        <v>0</v>
      </c>
      <c r="O82" s="170">
        <f>'kif to eKif'!E81</f>
        <v>0</v>
      </c>
      <c r="P82" s="170">
        <f>'kif to eKif'!F81</f>
        <v>0</v>
      </c>
      <c r="Q82" s="170">
        <v>0</v>
      </c>
      <c r="R82" s="170">
        <v>0</v>
      </c>
      <c r="S82" s="170">
        <v>0</v>
      </c>
      <c r="T82" s="170">
        <v>0</v>
      </c>
      <c r="U82" s="170">
        <v>0</v>
      </c>
    </row>
    <row r="83" spans="1:21">
      <c r="A83" s="151" t="str">
        <f t="shared" si="1"/>
        <v>2</v>
      </c>
      <c r="B83" s="167">
        <f>'kif to eKif'!$K$1</f>
        <v>2202</v>
      </c>
      <c r="C83" s="167">
        <v>98</v>
      </c>
      <c r="D83" s="168">
        <v>1</v>
      </c>
      <c r="E83" s="167">
        <f>'kif to eKif'!$D82</f>
        <v>0</v>
      </c>
      <c r="F83" s="169">
        <f>'kif to eKif'!H82</f>
        <v>0</v>
      </c>
      <c r="G83" s="167">
        <f>'kif to eKif'!A82</f>
        <v>0</v>
      </c>
      <c r="H83" t="e">
        <f>VLOOKUP('kif to eKif'!B82,kupciInfoKif,8,)</f>
        <v>#N/A</v>
      </c>
      <c r="I83" s="2" t="e">
        <f>VLOOKUP('kif to eKif'!B82,kupciInfoKif,4,)</f>
        <v>#N/A</v>
      </c>
      <c r="J83" s="2" t="e">
        <f>VLOOKUP('kif to eKif'!B82,kupciInfoKif,5,)</f>
        <v>#N/A</v>
      </c>
      <c r="K83" s="170">
        <f>'kif to eKif'!G82</f>
        <v>0</v>
      </c>
      <c r="L83" s="170">
        <v>0</v>
      </c>
      <c r="M83" s="170">
        <v>0</v>
      </c>
      <c r="N83" s="170">
        <v>0</v>
      </c>
      <c r="O83" s="170">
        <f>'kif to eKif'!E82</f>
        <v>0</v>
      </c>
      <c r="P83" s="170">
        <f>TRUNC(ROUND('kif to eKif'!F82,2),2)</f>
        <v>0</v>
      </c>
      <c r="Q83" s="170">
        <v>0</v>
      </c>
      <c r="R83" s="170">
        <v>0</v>
      </c>
      <c r="S83" s="170">
        <v>0</v>
      </c>
      <c r="T83" s="170">
        <v>0</v>
      </c>
      <c r="U83" s="170">
        <v>0</v>
      </c>
    </row>
    <row r="84" spans="1:21">
      <c r="G84" s="167">
        <f>'kif to eKif'!A83</f>
        <v>0</v>
      </c>
    </row>
    <row r="85" spans="1:21">
      <c r="G85" s="167">
        <f>'kif to eKif'!A84</f>
        <v>0</v>
      </c>
    </row>
    <row r="86" spans="1:21">
      <c r="G86" s="167">
        <f>'kif to eKif'!A85</f>
        <v>0</v>
      </c>
    </row>
    <row r="87" spans="1:21">
      <c r="G87" s="167">
        <f>'kif to eKif'!A86</f>
        <v>0</v>
      </c>
    </row>
    <row r="88" spans="1:21">
      <c r="G88" s="167">
        <f>'kif to eKif'!A87</f>
        <v>0</v>
      </c>
    </row>
    <row r="89" spans="1:21">
      <c r="G89" s="167">
        <f>'kif to eKif'!A88</f>
        <v>0</v>
      </c>
    </row>
    <row r="90" spans="1:21">
      <c r="G90" s="167">
        <f>'kif to eKif'!A89</f>
        <v>0</v>
      </c>
    </row>
    <row r="91" spans="1:21">
      <c r="G91" s="167">
        <f>'kif to eKif'!A90</f>
        <v>0</v>
      </c>
    </row>
    <row r="92" spans="1:21">
      <c r="G92" s="167">
        <f>'kif to eKif'!A91</f>
        <v>0</v>
      </c>
    </row>
    <row r="93" spans="1:21">
      <c r="G93" s="167">
        <f>'kif to eKif'!A92</f>
        <v>0</v>
      </c>
    </row>
    <row r="94" spans="1:21">
      <c r="G94" s="167">
        <f>'kif to eKif'!A93</f>
        <v>0</v>
      </c>
    </row>
    <row r="95" spans="1:21">
      <c r="G95" s="167">
        <f>'kif to eKif'!A94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D2B7-A7C2-43FC-9D98-26323CD8607F}">
  <sheetPr>
    <tabColor rgb="FFFF0000"/>
  </sheetPr>
  <dimension ref="A2:B3"/>
  <sheetViews>
    <sheetView workbookViewId="0">
      <selection activeCell="H17" sqref="H17"/>
    </sheetView>
  </sheetViews>
  <sheetFormatPr defaultRowHeight="14.45"/>
  <sheetData>
    <row r="2" spans="1:2">
      <c r="A2">
        <v>1</v>
      </c>
      <c r="B2" t="s">
        <v>143</v>
      </c>
    </row>
    <row r="3" spans="1:2">
      <c r="A3">
        <v>2</v>
      </c>
      <c r="B3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292C-0E6E-4C56-9A42-D07D306C4426}">
  <sheetPr codeName="Sheet2"/>
  <dimension ref="A1:H47"/>
  <sheetViews>
    <sheetView topLeftCell="A25" workbookViewId="0">
      <selection activeCell="J41" sqref="J41"/>
    </sheetView>
  </sheetViews>
  <sheetFormatPr defaultRowHeight="14.45"/>
  <cols>
    <col min="1" max="1" width="5.7109375" customWidth="1"/>
    <col min="2" max="2" width="33.85546875" customWidth="1"/>
    <col min="3" max="3" width="8.85546875" style="1"/>
  </cols>
  <sheetData>
    <row r="1" spans="1:4">
      <c r="B1" t="s">
        <v>145</v>
      </c>
      <c r="C1" s="1" t="s">
        <v>146</v>
      </c>
      <c r="D1" t="s">
        <v>147</v>
      </c>
    </row>
    <row r="2" spans="1:4">
      <c r="A2">
        <v>1</v>
      </c>
      <c r="B2" t="s">
        <v>148</v>
      </c>
      <c r="C2" s="1">
        <v>2.75</v>
      </c>
      <c r="D2" t="s">
        <v>149</v>
      </c>
    </row>
    <row r="3" spans="1:4">
      <c r="A3">
        <v>2</v>
      </c>
      <c r="B3" t="s">
        <v>150</v>
      </c>
      <c r="C3" s="1">
        <v>2.75</v>
      </c>
      <c r="D3" t="s">
        <v>149</v>
      </c>
    </row>
    <row r="4" spans="1:4">
      <c r="A4">
        <v>3</v>
      </c>
      <c r="B4" t="s">
        <v>151</v>
      </c>
      <c r="C4" s="1">
        <v>2.75</v>
      </c>
      <c r="D4" t="s">
        <v>149</v>
      </c>
    </row>
    <row r="5" spans="1:4">
      <c r="A5">
        <v>4</v>
      </c>
      <c r="B5" t="s">
        <v>152</v>
      </c>
      <c r="C5" s="1">
        <v>2.75</v>
      </c>
      <c r="D5" t="s">
        <v>149</v>
      </c>
    </row>
    <row r="6" spans="1:4">
      <c r="A6">
        <v>7</v>
      </c>
      <c r="B6" t="s">
        <v>153</v>
      </c>
      <c r="C6" s="1">
        <v>3.07</v>
      </c>
      <c r="D6" t="s">
        <v>149</v>
      </c>
    </row>
    <row r="7" spans="1:4">
      <c r="A7">
        <v>6</v>
      </c>
      <c r="B7" t="s">
        <v>154</v>
      </c>
      <c r="C7" s="1">
        <v>3.07</v>
      </c>
      <c r="D7" t="s">
        <v>149</v>
      </c>
    </row>
    <row r="8" spans="1:4">
      <c r="A8">
        <v>5</v>
      </c>
      <c r="B8" t="s">
        <v>155</v>
      </c>
      <c r="C8" s="1">
        <v>3.07</v>
      </c>
      <c r="D8" t="s">
        <v>149</v>
      </c>
    </row>
    <row r="9" spans="1:4">
      <c r="A9">
        <v>8</v>
      </c>
      <c r="B9" t="s">
        <v>156</v>
      </c>
      <c r="C9" s="1">
        <v>3.07</v>
      </c>
      <c r="D9" t="s">
        <v>149</v>
      </c>
    </row>
    <row r="10" spans="1:4">
      <c r="A10">
        <v>9</v>
      </c>
      <c r="B10" t="s">
        <v>157</v>
      </c>
      <c r="C10" s="1">
        <v>2.75</v>
      </c>
      <c r="D10" t="s">
        <v>149</v>
      </c>
    </row>
    <row r="11" spans="1:4">
      <c r="A11">
        <v>10</v>
      </c>
      <c r="B11" t="s">
        <v>158</v>
      </c>
      <c r="C11" s="1">
        <v>2.75</v>
      </c>
      <c r="D11" t="s">
        <v>149</v>
      </c>
    </row>
    <row r="12" spans="1:4">
      <c r="A12">
        <v>11</v>
      </c>
      <c r="B12" t="s">
        <v>159</v>
      </c>
      <c r="C12" s="1">
        <v>2.75</v>
      </c>
      <c r="D12" t="s">
        <v>149</v>
      </c>
    </row>
    <row r="13" spans="1:4">
      <c r="A13">
        <v>12</v>
      </c>
      <c r="B13" t="s">
        <v>160</v>
      </c>
      <c r="C13" s="1">
        <v>2.75</v>
      </c>
      <c r="D13" t="s">
        <v>149</v>
      </c>
    </row>
    <row r="14" spans="1:4">
      <c r="A14">
        <v>13</v>
      </c>
      <c r="B14" t="s">
        <v>161</v>
      </c>
      <c r="C14" s="1">
        <v>3.07</v>
      </c>
      <c r="D14" t="s">
        <v>149</v>
      </c>
    </row>
    <row r="15" spans="1:4">
      <c r="A15">
        <v>14</v>
      </c>
      <c r="B15" t="s">
        <v>162</v>
      </c>
      <c r="C15" s="1">
        <v>3.07</v>
      </c>
      <c r="D15" t="s">
        <v>149</v>
      </c>
    </row>
    <row r="16" spans="1:4">
      <c r="A16">
        <v>15</v>
      </c>
      <c r="B16" t="s">
        <v>163</v>
      </c>
      <c r="C16" s="1">
        <v>3.07</v>
      </c>
      <c r="D16" t="s">
        <v>149</v>
      </c>
    </row>
    <row r="17" spans="1:8">
      <c r="A17">
        <v>16</v>
      </c>
      <c r="B17" t="s">
        <v>164</v>
      </c>
      <c r="C17" s="1">
        <v>3.07</v>
      </c>
      <c r="D17" t="s">
        <v>149</v>
      </c>
    </row>
    <row r="18" spans="1:8">
      <c r="A18">
        <v>17</v>
      </c>
      <c r="B18" t="s">
        <v>165</v>
      </c>
      <c r="C18" s="1">
        <v>3.47</v>
      </c>
      <c r="D18" t="s">
        <v>149</v>
      </c>
      <c r="E18" t="s">
        <v>166</v>
      </c>
      <c r="H18" t="s">
        <v>167</v>
      </c>
    </row>
    <row r="19" spans="1:8">
      <c r="A19">
        <v>18</v>
      </c>
      <c r="B19" t="s">
        <v>168</v>
      </c>
      <c r="C19" s="1">
        <v>3.47</v>
      </c>
      <c r="D19" t="s">
        <v>149</v>
      </c>
    </row>
    <row r="20" spans="1:8">
      <c r="A20">
        <v>19</v>
      </c>
      <c r="B20" t="s">
        <v>169</v>
      </c>
      <c r="C20" s="1">
        <v>3.47</v>
      </c>
      <c r="D20" t="s">
        <v>149</v>
      </c>
    </row>
    <row r="21" spans="1:8">
      <c r="A21">
        <v>20</v>
      </c>
      <c r="B21" t="s">
        <v>170</v>
      </c>
      <c r="C21" s="1">
        <v>3.47</v>
      </c>
      <c r="D21" t="s">
        <v>149</v>
      </c>
    </row>
    <row r="22" spans="1:8">
      <c r="A22">
        <v>21</v>
      </c>
      <c r="B22" t="s">
        <v>171</v>
      </c>
      <c r="C22" s="1">
        <v>3.47</v>
      </c>
      <c r="D22" t="s">
        <v>149</v>
      </c>
    </row>
    <row r="23" spans="1:8">
      <c r="A23">
        <v>22</v>
      </c>
      <c r="B23" t="s">
        <v>172</v>
      </c>
      <c r="C23" s="1">
        <v>3.47</v>
      </c>
      <c r="D23" t="s">
        <v>149</v>
      </c>
    </row>
    <row r="24" spans="1:8">
      <c r="A24">
        <v>23</v>
      </c>
      <c r="B24" t="s">
        <v>173</v>
      </c>
      <c r="C24" s="1">
        <v>3.47</v>
      </c>
      <c r="D24" t="s">
        <v>149</v>
      </c>
    </row>
    <row r="25" spans="1:8">
      <c r="A25">
        <v>24</v>
      </c>
      <c r="B25" t="s">
        <v>174</v>
      </c>
      <c r="C25" s="1">
        <v>3.47</v>
      </c>
      <c r="D25" t="s">
        <v>149</v>
      </c>
      <c r="E25" t="s">
        <v>166</v>
      </c>
    </row>
    <row r="26" spans="1:8">
      <c r="A26">
        <v>25</v>
      </c>
      <c r="B26" t="s">
        <v>175</v>
      </c>
      <c r="C26" s="1">
        <v>3.68</v>
      </c>
      <c r="D26" t="s">
        <v>149</v>
      </c>
      <c r="H26" t="s">
        <v>176</v>
      </c>
    </row>
    <row r="27" spans="1:8">
      <c r="A27">
        <v>26</v>
      </c>
      <c r="B27" t="s">
        <v>177</v>
      </c>
      <c r="C27" s="1">
        <v>3.68</v>
      </c>
      <c r="D27" t="s">
        <v>149</v>
      </c>
    </row>
    <row r="28" spans="1:8">
      <c r="A28">
        <v>27</v>
      </c>
      <c r="B28" t="s">
        <v>178</v>
      </c>
      <c r="C28" s="1">
        <v>3.68</v>
      </c>
      <c r="D28" t="s">
        <v>149</v>
      </c>
    </row>
    <row r="29" spans="1:8">
      <c r="A29">
        <v>28</v>
      </c>
      <c r="B29" t="s">
        <v>179</v>
      </c>
      <c r="C29" s="1">
        <v>4.2</v>
      </c>
      <c r="D29" t="s">
        <v>149</v>
      </c>
      <c r="H29" t="s">
        <v>180</v>
      </c>
    </row>
    <row r="30" spans="1:8">
      <c r="A30">
        <v>30</v>
      </c>
      <c r="B30" t="s">
        <v>181</v>
      </c>
      <c r="C30" s="1">
        <v>3.68</v>
      </c>
      <c r="D30" t="s">
        <v>149</v>
      </c>
    </row>
    <row r="31" spans="1:8">
      <c r="A31">
        <v>31</v>
      </c>
      <c r="B31" t="s">
        <v>182</v>
      </c>
      <c r="C31" s="1">
        <v>3.68</v>
      </c>
      <c r="D31" t="s">
        <v>149</v>
      </c>
    </row>
    <row r="32" spans="1:8">
      <c r="A32">
        <v>31</v>
      </c>
      <c r="B32" t="s">
        <v>183</v>
      </c>
      <c r="C32" s="1">
        <v>3.68</v>
      </c>
      <c r="D32" t="s">
        <v>149</v>
      </c>
    </row>
    <row r="33" spans="1:8">
      <c r="A33">
        <v>32</v>
      </c>
      <c r="B33" t="s">
        <v>184</v>
      </c>
      <c r="C33" s="1">
        <v>2.2999999999999998</v>
      </c>
      <c r="D33" t="s">
        <v>149</v>
      </c>
      <c r="E33" t="s">
        <v>185</v>
      </c>
    </row>
    <row r="34" spans="1:8">
      <c r="A34">
        <v>33</v>
      </c>
      <c r="B34" t="s">
        <v>186</v>
      </c>
      <c r="C34" s="1">
        <v>2.9</v>
      </c>
      <c r="D34" t="s">
        <v>149</v>
      </c>
      <c r="E34" t="s">
        <v>185</v>
      </c>
    </row>
    <row r="35" spans="1:8">
      <c r="A35">
        <v>34</v>
      </c>
      <c r="B35" t="s">
        <v>183</v>
      </c>
      <c r="C35" s="1">
        <v>3.68</v>
      </c>
      <c r="D35" t="s">
        <v>149</v>
      </c>
    </row>
    <row r="36" spans="1:8">
      <c r="A36">
        <v>35</v>
      </c>
      <c r="B36" t="s">
        <v>186</v>
      </c>
      <c r="C36" s="1">
        <v>3.2</v>
      </c>
      <c r="D36" t="s">
        <v>149</v>
      </c>
      <c r="E36" t="s">
        <v>187</v>
      </c>
    </row>
    <row r="37" spans="1:8">
      <c r="A37">
        <v>36</v>
      </c>
      <c r="B37" t="s">
        <v>188</v>
      </c>
      <c r="C37" s="1">
        <v>3.45</v>
      </c>
      <c r="D37" t="s">
        <v>149</v>
      </c>
      <c r="H37" t="s">
        <v>167</v>
      </c>
    </row>
    <row r="38" spans="1:8">
      <c r="A38">
        <v>37</v>
      </c>
      <c r="B38" t="s">
        <v>184</v>
      </c>
      <c r="C38" s="1">
        <v>2.35</v>
      </c>
      <c r="D38" t="s">
        <v>149</v>
      </c>
      <c r="E38" t="s">
        <v>189</v>
      </c>
    </row>
    <row r="39" spans="1:8">
      <c r="A39">
        <v>38</v>
      </c>
      <c r="B39" t="s">
        <v>186</v>
      </c>
      <c r="C39" s="1">
        <v>3</v>
      </c>
      <c r="D39" t="s">
        <v>149</v>
      </c>
      <c r="E39" t="s">
        <v>189</v>
      </c>
    </row>
    <row r="40" spans="1:8">
      <c r="A40">
        <v>39</v>
      </c>
      <c r="B40" t="s">
        <v>184</v>
      </c>
      <c r="C40" s="1">
        <v>2.5</v>
      </c>
      <c r="D40" t="s">
        <v>149</v>
      </c>
      <c r="E40" t="s">
        <v>187</v>
      </c>
    </row>
    <row r="41" spans="1:8">
      <c r="A41">
        <v>40</v>
      </c>
      <c r="B41" t="s">
        <v>186</v>
      </c>
      <c r="C41" s="1">
        <v>2.88</v>
      </c>
      <c r="D41" t="s">
        <v>149</v>
      </c>
      <c r="E41" t="s">
        <v>190</v>
      </c>
    </row>
    <row r="42" spans="1:8">
      <c r="A42">
        <v>41</v>
      </c>
      <c r="B42" t="s">
        <v>184</v>
      </c>
      <c r="C42" s="1">
        <v>2.1</v>
      </c>
      <c r="D42" t="s">
        <v>149</v>
      </c>
      <c r="E42" t="s">
        <v>191</v>
      </c>
    </row>
    <row r="43" spans="1:8">
      <c r="A43">
        <v>42</v>
      </c>
      <c r="B43" t="s">
        <v>186</v>
      </c>
      <c r="C43" s="1">
        <v>2.73</v>
      </c>
      <c r="D43" t="s">
        <v>149</v>
      </c>
      <c r="E43" t="s">
        <v>191</v>
      </c>
    </row>
    <row r="44" spans="1:8">
      <c r="A44">
        <v>43</v>
      </c>
      <c r="B44" t="s">
        <v>184</v>
      </c>
      <c r="C44" s="1">
        <v>2.2200000000000002</v>
      </c>
      <c r="D44" t="s">
        <v>149</v>
      </c>
      <c r="E44" t="s">
        <v>192</v>
      </c>
    </row>
    <row r="45" spans="1:8">
      <c r="A45">
        <v>44</v>
      </c>
    </row>
    <row r="46" spans="1:8">
      <c r="A46">
        <v>45</v>
      </c>
    </row>
    <row r="47" spans="1:8">
      <c r="A47">
        <v>46</v>
      </c>
      <c r="B47" t="s">
        <v>193</v>
      </c>
      <c r="C47" s="1">
        <v>3.15</v>
      </c>
      <c r="D47" t="s">
        <v>149</v>
      </c>
      <c r="H47" t="s">
        <v>194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3F5DC-7851-436E-B568-8CC6819E0B21}">
  <dimension ref="A1:G28"/>
  <sheetViews>
    <sheetView workbookViewId="0">
      <selection activeCell="L7" sqref="L7"/>
    </sheetView>
  </sheetViews>
  <sheetFormatPr defaultRowHeight="14.45"/>
  <cols>
    <col min="3" max="3" width="25.5703125" customWidth="1"/>
  </cols>
  <sheetData>
    <row r="1" spans="1:7" ht="13.15" customHeight="1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</row>
    <row r="2" spans="1:7">
      <c r="A2">
        <v>1</v>
      </c>
      <c r="C2" t="str">
        <f>IF(ISNUMBER(E2),CONCATENATE("stanje po fakt. ",'Za KIF-a'!E2),"")</f>
        <v>stanje po fakt. 22186</v>
      </c>
      <c r="D2" t="str">
        <f>IF(AND(ISNUMBER(E2), E2 &gt; 0),"kom", "")</f>
        <v/>
      </c>
      <c r="E2" s="1">
        <f>IF(ISNUMBER('Za KIF-a'!H2 ),'Za KIF-a'!H2,"")</f>
        <v>0</v>
      </c>
      <c r="F2" t="s">
        <v>202</v>
      </c>
      <c r="G2">
        <v>1</v>
      </c>
    </row>
    <row r="3" spans="1:7">
      <c r="A3">
        <v>2</v>
      </c>
      <c r="C3" t="str">
        <f>IF(ISNUMBER(E3),CONCATENATE("stanje po fakt. ",'Za KIF-a'!E3),"")</f>
        <v>stanje po fakt. 22187</v>
      </c>
      <c r="D3" t="str">
        <f t="shared" ref="D3:D28" si="0">IF(AND(ISNUMBER(E3), E3 &gt; 0),"kom", "")</f>
        <v>kom</v>
      </c>
      <c r="E3" s="1">
        <f>IF(ISNUMBER('Za KIF-a'!H3 ),'Za KIF-a'!H3,"")</f>
        <v>48.04</v>
      </c>
      <c r="F3" t="s">
        <v>202</v>
      </c>
      <c r="G3">
        <v>1</v>
      </c>
    </row>
    <row r="4" spans="1:7">
      <c r="A4">
        <v>3</v>
      </c>
      <c r="C4" t="str">
        <f>IF(ISNUMBER(E4),CONCATENATE("stanje po fakt. ",'Za KIF-a'!E4),"")</f>
        <v>stanje po fakt. 22188</v>
      </c>
      <c r="D4" t="str">
        <f t="shared" si="0"/>
        <v>kom</v>
      </c>
      <c r="E4" s="1">
        <f>IF(ISNUMBER('Za KIF-a'!H4 ),'Za KIF-a'!H4,"")</f>
        <v>108.35</v>
      </c>
      <c r="F4" t="s">
        <v>202</v>
      </c>
      <c r="G4">
        <v>1</v>
      </c>
    </row>
    <row r="5" spans="1:7">
      <c r="A5">
        <v>4</v>
      </c>
      <c r="C5" t="str">
        <f>IF(ISNUMBER(E5),CONCATENATE("stanje po fakt. ",'Za KIF-a'!E5),"")</f>
        <v>stanje po fakt. 22189</v>
      </c>
      <c r="D5" t="str">
        <f t="shared" si="0"/>
        <v>kom</v>
      </c>
      <c r="E5" s="1">
        <f>IF(ISNUMBER('Za KIF-a'!H5 ),'Za KIF-a'!H5,"")</f>
        <v>54.48</v>
      </c>
      <c r="F5" t="s">
        <v>202</v>
      </c>
      <c r="G5">
        <v>1</v>
      </c>
    </row>
    <row r="6" spans="1:7">
      <c r="A6">
        <v>5</v>
      </c>
      <c r="C6" t="str">
        <f>IF(ISNUMBER(E6),CONCATENATE("stanje po fakt. ",'Za KIF-a'!E6),"")</f>
        <v>stanje po fakt. 22190</v>
      </c>
      <c r="D6" t="str">
        <f t="shared" si="0"/>
        <v>kom</v>
      </c>
      <c r="E6" s="1">
        <f>IF(ISNUMBER('Za KIF-a'!H6 ),'Za KIF-a'!H6,"")</f>
        <v>90.69</v>
      </c>
      <c r="F6" t="s">
        <v>202</v>
      </c>
      <c r="G6">
        <v>1</v>
      </c>
    </row>
    <row r="7" spans="1:7">
      <c r="A7">
        <v>6</v>
      </c>
      <c r="C7" t="str">
        <f>IF(ISNUMBER(E7),CONCATENATE("stanje po fakt. ",'Za KIF-a'!E7),"")</f>
        <v>stanje po fakt. 22191</v>
      </c>
      <c r="D7" t="str">
        <f t="shared" si="0"/>
        <v>kom</v>
      </c>
      <c r="E7" s="1">
        <f>IF(ISNUMBER('Za KIF-a'!H7 ),'Za KIF-a'!H7,"")</f>
        <v>125.04</v>
      </c>
      <c r="F7" t="s">
        <v>202</v>
      </c>
      <c r="G7">
        <v>1</v>
      </c>
    </row>
    <row r="8" spans="1:7">
      <c r="A8">
        <v>7</v>
      </c>
      <c r="C8" t="str">
        <f>IF(ISNUMBER(E8),CONCATENATE("stanje po fakt. ",'Za KIF-a'!E8),"")</f>
        <v>stanje po fakt. 22192</v>
      </c>
      <c r="D8" t="str">
        <f t="shared" si="0"/>
        <v>kom</v>
      </c>
      <c r="E8" s="1">
        <f>IF(ISNUMBER('Za KIF-a'!H8 ),'Za KIF-a'!H8,"")</f>
        <v>55.66</v>
      </c>
      <c r="F8" t="s">
        <v>202</v>
      </c>
      <c r="G8">
        <v>1</v>
      </c>
    </row>
    <row r="9" spans="1:7">
      <c r="A9">
        <v>8</v>
      </c>
      <c r="C9" t="str">
        <f>IF(ISNUMBER(E9),CONCATENATE("stanje po fakt. ",'Za KIF-a'!E9),"")</f>
        <v>stanje po fakt. 22193</v>
      </c>
      <c r="D9" t="str">
        <f t="shared" si="0"/>
        <v>kom</v>
      </c>
      <c r="E9" s="1">
        <f>IF(ISNUMBER('Za KIF-a'!H9 ),'Za KIF-a'!H9,"")</f>
        <v>26.44</v>
      </c>
      <c r="F9" t="s">
        <v>202</v>
      </c>
      <c r="G9">
        <v>1</v>
      </c>
    </row>
    <row r="10" spans="1:7">
      <c r="A10">
        <v>9</v>
      </c>
      <c r="C10" t="str">
        <f>IF(ISNUMBER(E10),CONCATENATE("stanje po fakt. ",'Za KIF-a'!E10),"")</f>
        <v>stanje po fakt. 22194</v>
      </c>
      <c r="D10" t="str">
        <f t="shared" si="0"/>
        <v>kom</v>
      </c>
      <c r="E10" s="1">
        <f>IF(ISNUMBER('Za KIF-a'!H10 ),'Za KIF-a'!H10,"")</f>
        <v>25.83</v>
      </c>
      <c r="F10" t="s">
        <v>202</v>
      </c>
      <c r="G10">
        <v>1</v>
      </c>
    </row>
    <row r="11" spans="1:7">
      <c r="A11">
        <v>10</v>
      </c>
      <c r="C11" t="str">
        <f>IF(ISNUMBER(E11),CONCATENATE("stanje po fakt. ",'Za KIF-a'!E11),"")</f>
        <v>stanje po fakt. 22195</v>
      </c>
      <c r="D11" t="str">
        <f t="shared" si="0"/>
        <v>kom</v>
      </c>
      <c r="E11" s="1">
        <f>IF(ISNUMBER('Za KIF-a'!H11 ),'Za KIF-a'!H11,"")</f>
        <v>88.96</v>
      </c>
      <c r="F11" t="s">
        <v>202</v>
      </c>
      <c r="G11">
        <v>1</v>
      </c>
    </row>
    <row r="12" spans="1:7">
      <c r="A12">
        <v>11</v>
      </c>
      <c r="C12" t="str">
        <f>IF(ISNUMBER(E12),CONCATENATE("stanje po fakt. ",'Za KIF-a'!E12),"")</f>
        <v>stanje po fakt. 22196</v>
      </c>
      <c r="D12" t="str">
        <f t="shared" si="0"/>
        <v>kom</v>
      </c>
      <c r="E12" s="1">
        <f>IF(ISNUMBER('Za KIF-a'!H12 ),'Za KIF-a'!H12,"")</f>
        <v>61.57</v>
      </c>
      <c r="F12" t="s">
        <v>202</v>
      </c>
      <c r="G12">
        <v>1</v>
      </c>
    </row>
    <row r="13" spans="1:7">
      <c r="A13">
        <v>12</v>
      </c>
      <c r="C13" t="str">
        <f>IF(ISNUMBER(E13),CONCATENATE("stanje po fakt. ",'Za KIF-a'!E13),"")</f>
        <v>stanje po fakt. 22197</v>
      </c>
      <c r="D13" t="str">
        <f t="shared" si="0"/>
        <v>kom</v>
      </c>
      <c r="E13" s="1">
        <f>IF(ISNUMBER('Za KIF-a'!H13 ),'Za KIF-a'!H13,"")</f>
        <v>41.98</v>
      </c>
      <c r="F13" t="s">
        <v>202</v>
      </c>
      <c r="G13">
        <v>1</v>
      </c>
    </row>
    <row r="14" spans="1:7">
      <c r="A14">
        <v>13</v>
      </c>
      <c r="C14" t="str">
        <f>IF(ISNUMBER(E14),CONCATENATE("stanje po fakt. ",'Za KIF-a'!E14),"")</f>
        <v>stanje po fakt. 22198</v>
      </c>
      <c r="D14" t="str">
        <f t="shared" si="0"/>
        <v>kom</v>
      </c>
      <c r="E14" s="1">
        <f>IF(ISNUMBER('Za KIF-a'!H14 ),'Za KIF-a'!H14,"")</f>
        <v>86.11</v>
      </c>
      <c r="F14" t="s">
        <v>202</v>
      </c>
      <c r="G14">
        <v>1</v>
      </c>
    </row>
    <row r="15" spans="1:7">
      <c r="A15">
        <v>14</v>
      </c>
      <c r="C15" t="str">
        <f>IF(ISNUMBER(E15),CONCATENATE("stanje po fakt. ",'Za KIF-a'!E15),"")</f>
        <v>stanje po fakt. 22199</v>
      </c>
      <c r="D15" t="s">
        <v>149</v>
      </c>
      <c r="E15" s="1">
        <f>IF(ISNUMBER('Za KIF-a'!H15 ),'Za KIF-a'!H15,"")</f>
        <v>28.42</v>
      </c>
      <c r="F15" t="s">
        <v>202</v>
      </c>
      <c r="G15">
        <v>1</v>
      </c>
    </row>
    <row r="16" spans="1:7">
      <c r="A16">
        <v>15</v>
      </c>
      <c r="C16" t="str">
        <f>IF(ISNUMBER(E16),CONCATENATE("stanje po fakt. ",'Za KIF-a'!E16),"")</f>
        <v xml:space="preserve">stanje po fakt. </v>
      </c>
      <c r="D16" t="str">
        <f t="shared" si="0"/>
        <v/>
      </c>
      <c r="E16" s="1">
        <f>IF(ISNUMBER('Za KIF-a'!H16 ),'Za KIF-a'!H16,"")</f>
        <v>0</v>
      </c>
      <c r="F16" t="s">
        <v>202</v>
      </c>
      <c r="G16">
        <v>1</v>
      </c>
    </row>
    <row r="17" spans="1:7">
      <c r="A17">
        <v>16</v>
      </c>
      <c r="C17" t="str">
        <f>IF(ISNUMBER(E17),CONCATENATE("stanje po fakt. ",'Za KIF-a'!E17),"")</f>
        <v xml:space="preserve">stanje po fakt. </v>
      </c>
      <c r="D17" t="s">
        <v>149</v>
      </c>
      <c r="E17" s="1">
        <f>IF(ISNUMBER('Za KIF-a'!H17 ),'Za KIF-a'!H17,"")</f>
        <v>0</v>
      </c>
      <c r="F17" t="s">
        <v>202</v>
      </c>
      <c r="G17">
        <v>1</v>
      </c>
    </row>
    <row r="18" spans="1:7">
      <c r="A18">
        <v>17</v>
      </c>
      <c r="C18" t="str">
        <f>IF(ISNUMBER(E18),CONCATENATE("stanje po fakt. ",'Za KIF-a'!E18),"")</f>
        <v xml:space="preserve">stanje po fakt. </v>
      </c>
      <c r="D18" t="str">
        <f t="shared" si="0"/>
        <v/>
      </c>
      <c r="E18" s="1">
        <f>IF(ISNUMBER('Za KIF-a'!H18 ),'Za KIF-a'!H18,"")</f>
        <v>0</v>
      </c>
      <c r="F18" t="s">
        <v>202</v>
      </c>
      <c r="G18">
        <v>1</v>
      </c>
    </row>
    <row r="19" spans="1:7">
      <c r="A19">
        <v>18</v>
      </c>
      <c r="C19" t="str">
        <f>IF(ISNUMBER(E19),CONCATENATE("stanje po fakt. ",'Za KIF-a'!E19),"")</f>
        <v xml:space="preserve">stanje po fakt. </v>
      </c>
      <c r="D19" t="str">
        <f t="shared" si="0"/>
        <v/>
      </c>
      <c r="E19" s="1">
        <f>IF(ISNUMBER('Za KIF-a'!H19 ),'Za KIF-a'!H19,"")</f>
        <v>0</v>
      </c>
      <c r="F19" t="s">
        <v>202</v>
      </c>
      <c r="G19">
        <v>1</v>
      </c>
    </row>
    <row r="20" spans="1:7">
      <c r="A20">
        <v>19</v>
      </c>
      <c r="C20" t="str">
        <f>IF(ISNUMBER(E20),CONCATENATE("stanje po fakt. ",'Za KIF-a'!E20),"")</f>
        <v xml:space="preserve">stanje po fakt. </v>
      </c>
      <c r="D20" t="str">
        <f t="shared" si="0"/>
        <v/>
      </c>
      <c r="E20" s="1">
        <f>IF(ISNUMBER('Za KIF-a'!H20 ),'Za KIF-a'!H20,"")</f>
        <v>0</v>
      </c>
      <c r="F20" t="s">
        <v>202</v>
      </c>
      <c r="G20">
        <v>1</v>
      </c>
    </row>
    <row r="21" spans="1:7">
      <c r="A21">
        <v>20</v>
      </c>
      <c r="C21" t="str">
        <f>IF(ISNUMBER(E21),CONCATENATE("stanje po fakt. ",'Za KIF-a'!E21),"")</f>
        <v/>
      </c>
      <c r="D21" t="str">
        <f t="shared" si="0"/>
        <v/>
      </c>
      <c r="E21" s="1" t="str">
        <f>IF(ISNUMBER('Za KIF-a'!H21 ),'Za KIF-a'!H21,"")</f>
        <v/>
      </c>
      <c r="F21" t="s">
        <v>202</v>
      </c>
      <c r="G21">
        <v>1</v>
      </c>
    </row>
    <row r="22" spans="1:7">
      <c r="A22">
        <v>21</v>
      </c>
      <c r="C22" t="str">
        <f>IF(ISNUMBER(E22),CONCATENATE("stanje po fakt. ",'Za KIF-a'!E22),"")</f>
        <v/>
      </c>
      <c r="D22" t="str">
        <f t="shared" si="0"/>
        <v/>
      </c>
      <c r="E22" s="1" t="str">
        <f>IF(ISNUMBER('Za KIF-a'!H22 ),'Za KIF-a'!H22,"")</f>
        <v/>
      </c>
      <c r="F22" t="s">
        <v>202</v>
      </c>
      <c r="G22">
        <v>1</v>
      </c>
    </row>
    <row r="23" spans="1:7">
      <c r="A23">
        <v>22</v>
      </c>
      <c r="C23" t="str">
        <f>IF(ISNUMBER(E23),CONCATENATE("stanje po fakt. ",'Za KIF-a'!E23),"")</f>
        <v/>
      </c>
      <c r="D23" t="str">
        <f t="shared" si="0"/>
        <v/>
      </c>
      <c r="E23" s="1" t="str">
        <f>IF(ISNUMBER('Za KIF-a'!H23 ),'Za KIF-a'!H23,"")</f>
        <v/>
      </c>
      <c r="F23" t="s">
        <v>202</v>
      </c>
      <c r="G23">
        <v>1</v>
      </c>
    </row>
    <row r="24" spans="1:7">
      <c r="A24">
        <v>23</v>
      </c>
      <c r="C24" t="str">
        <f>IF(ISNUMBER(E24),CONCATENATE("stanje po fakt. ",'Za KIF-a'!E24),"")</f>
        <v/>
      </c>
      <c r="D24" t="str">
        <f t="shared" si="0"/>
        <v/>
      </c>
      <c r="E24" s="1" t="str">
        <f>IF(ISNUMBER('Za KIF-a'!H24 ),'Za KIF-a'!H24,"")</f>
        <v/>
      </c>
      <c r="F24" t="s">
        <v>202</v>
      </c>
      <c r="G24">
        <v>1</v>
      </c>
    </row>
    <row r="25" spans="1:7">
      <c r="A25">
        <v>24</v>
      </c>
      <c r="C25" t="str">
        <f>IF(ISNUMBER(E25),CONCATENATE("stanje po fakt. ",'Za KIF-a'!E25),"")</f>
        <v/>
      </c>
      <c r="D25" t="str">
        <f t="shared" si="0"/>
        <v/>
      </c>
      <c r="E25" s="1" t="str">
        <f>IF(ISNUMBER('Za KIF-a'!H25 ),'Za KIF-a'!H25,"")</f>
        <v/>
      </c>
      <c r="F25" t="s">
        <v>202</v>
      </c>
      <c r="G25">
        <v>1</v>
      </c>
    </row>
    <row r="26" spans="1:7">
      <c r="A26">
        <v>25</v>
      </c>
      <c r="C26" t="str">
        <f>IF(ISNUMBER(E26),CONCATENATE("stanje po fakt. ",'Za KIF-a'!E26),"")</f>
        <v/>
      </c>
      <c r="D26" t="str">
        <f t="shared" si="0"/>
        <v/>
      </c>
      <c r="E26" s="1" t="str">
        <f>IF(ISNUMBER('Za KIF-a'!H26 ),'Za KIF-a'!H26,"")</f>
        <v/>
      </c>
      <c r="F26" t="s">
        <v>202</v>
      </c>
      <c r="G26">
        <v>1</v>
      </c>
    </row>
    <row r="27" spans="1:7">
      <c r="A27">
        <v>26</v>
      </c>
      <c r="C27" t="str">
        <f>IF(ISNUMBER(E27),CONCATENATE("stanje po fakt. ",'Za KIF-a'!E27),"")</f>
        <v/>
      </c>
      <c r="D27" t="str">
        <f t="shared" si="0"/>
        <v/>
      </c>
      <c r="E27" s="1" t="str">
        <f>IF(ISNUMBER('Za KIF-a'!H27 ),'Za KIF-a'!H27,"")</f>
        <v/>
      </c>
      <c r="F27" t="s">
        <v>202</v>
      </c>
      <c r="G27">
        <v>1</v>
      </c>
    </row>
    <row r="28" spans="1:7">
      <c r="A28">
        <v>27</v>
      </c>
      <c r="C28" t="str">
        <f>IF(ISNUMBER(E28),CONCATENATE("stanje po fakt. ",'Za KIF-a'!E28),"")</f>
        <v/>
      </c>
      <c r="D28" t="str">
        <f t="shared" si="0"/>
        <v/>
      </c>
      <c r="E28" s="1" t="str">
        <f>IF(ISNUMBER('Za KIF-a'!H28 ),'Za KIF-a'!H28,"")</f>
        <v/>
      </c>
      <c r="F28" t="s">
        <v>202</v>
      </c>
      <c r="G28">
        <v>1</v>
      </c>
    </row>
  </sheetData>
  <sheetProtection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0822E-4539-4F33-A44D-C641650040A7}">
  <sheetPr codeName="Sheet3"/>
  <dimension ref="A1:T33"/>
  <sheetViews>
    <sheetView zoomScale="90" zoomScaleNormal="90" workbookViewId="0">
      <selection activeCell="B2" sqref="B2:I2"/>
    </sheetView>
  </sheetViews>
  <sheetFormatPr defaultRowHeight="14.45"/>
  <cols>
    <col min="1" max="1" width="11.140625" customWidth="1"/>
    <col min="2" max="2" width="45.85546875" customWidth="1"/>
    <col min="3" max="3" width="42" customWidth="1"/>
    <col min="4" max="4" width="12.85546875" style="1" customWidth="1"/>
    <col min="5" max="5" width="9.7109375" bestFit="1" customWidth="1"/>
    <col min="6" max="6" width="16.140625" style="1" bestFit="1" customWidth="1"/>
    <col min="7" max="8" width="8.85546875" style="1"/>
    <col min="9" max="9" width="12" customWidth="1"/>
    <col min="10" max="10" width="12.140625" customWidth="1"/>
    <col min="11" max="11" width="16.140625" bestFit="1" customWidth="1"/>
    <col min="12" max="12" width="24.5703125" bestFit="1" customWidth="1"/>
    <col min="13" max="13" width="16.7109375" customWidth="1"/>
  </cols>
  <sheetData>
    <row r="1" spans="1:20" ht="18" thickBot="1">
      <c r="A1" s="91" t="s">
        <v>203</v>
      </c>
      <c r="B1" s="92" t="s">
        <v>204</v>
      </c>
      <c r="C1" s="92" t="s">
        <v>205</v>
      </c>
      <c r="D1" s="93" t="s">
        <v>206</v>
      </c>
      <c r="E1" s="92" t="s">
        <v>207</v>
      </c>
      <c r="F1" s="93" t="s">
        <v>208</v>
      </c>
      <c r="G1" s="93" t="s">
        <v>209</v>
      </c>
      <c r="H1" s="93" t="s">
        <v>210</v>
      </c>
      <c r="I1" s="93" t="s">
        <v>211</v>
      </c>
      <c r="J1" s="99"/>
      <c r="K1" t="s">
        <v>212</v>
      </c>
      <c r="L1" s="126">
        <f ca="1">TODAY()</f>
        <v>44635</v>
      </c>
      <c r="M1" s="62"/>
    </row>
    <row r="2" spans="1:20" ht="15" thickTop="1">
      <c r="A2" s="94" t="s">
        <v>213</v>
      </c>
      <c r="B2" t="str">
        <f>'Fak1'!$C$10</f>
        <v>"Mercator BH" Trgovina na veliko i malo d.o.o. Sarajevo</v>
      </c>
      <c r="C2" t="str">
        <f>'Fak1'!$C$12</f>
        <v>Ul. Ložionička 16, podr. 47 - prod 67</v>
      </c>
      <c r="D2">
        <f>$M$8+1</f>
        <v>1199</v>
      </c>
      <c r="E2">
        <f>$M$9+1</f>
        <v>22186</v>
      </c>
      <c r="F2" s="63">
        <f>'Fak1'!$K$32</f>
        <v>0</v>
      </c>
      <c r="G2" s="63">
        <f>'Fak1'!$K$33</f>
        <v>0</v>
      </c>
      <c r="H2" s="63">
        <f>'Fak1'!$K$34</f>
        <v>0</v>
      </c>
      <c r="I2" s="62">
        <f ca="1">$L$1</f>
        <v>44635</v>
      </c>
      <c r="J2" s="100"/>
      <c r="K2" t="s">
        <v>214</v>
      </c>
      <c r="L2" s="126">
        <f ca="1">TODAY()+1</f>
        <v>44636</v>
      </c>
    </row>
    <row r="3" spans="1:20">
      <c r="A3" s="94" t="s">
        <v>215</v>
      </c>
      <c r="B3" t="str">
        <f>IF(H3&lt;1, "",'Fak2'!$C$10)</f>
        <v>"Mercator BH" Trgovina na veliko i malo d.o.o. Sarajevo</v>
      </c>
      <c r="C3" t="str">
        <f>IF(H3&lt;1, "",'Fak2'!$C$12)</f>
        <v>Bulevar Mimar Sinana 1, Dobrinja, podr. 49 -prod 69</v>
      </c>
      <c r="D3" s="90">
        <f>IF($H3=0,"",IF(D2&lt;&gt;"",D2+1,IF(D1&lt;&gt;"",D1+1,IF(#REF!&lt;&gt;"",#REF!+1,IF(#REF!&lt;&gt;"",#REF!+1,"samo 3 fakture mogu biti prazne iznad")))))</f>
        <v>1200</v>
      </c>
      <c r="E3" s="90">
        <f>IF(H3=0,"",IF(E2&lt;&gt;"",E2+1,IF(E1&lt;&gt;"",E1+1,IF(#REF!&lt;&gt;"",#REF!+1,IF(#REF!&lt;&gt;"",#REF!+1,"samo 3 fakture mogu biti prazne iznad")))))</f>
        <v>22187</v>
      </c>
      <c r="F3" s="63">
        <f>'Fak2'!$K$32</f>
        <v>41.06</v>
      </c>
      <c r="G3" s="63">
        <f>IF(H3&lt;1,"",'Fak2'!$K$33)</f>
        <v>6.98</v>
      </c>
      <c r="H3" s="63">
        <f>'Fak2'!$K$34</f>
        <v>48.04</v>
      </c>
      <c r="I3" s="62">
        <f t="shared" ref="I3:I20" ca="1" si="0">$L$1</f>
        <v>44635</v>
      </c>
      <c r="J3" s="100"/>
    </row>
    <row r="4" spans="1:20">
      <c r="A4" s="94" t="s">
        <v>216</v>
      </c>
      <c r="B4" t="str">
        <f>IF(H4&lt;1, "",'Fak3'!$C$10)</f>
        <v>BINGO d.o.o. Tuzla</v>
      </c>
      <c r="C4" t="str">
        <f>IF(H4&lt;1, "",'Fak3'!$C$12)</f>
        <v>Prod br. 219 ALTA</v>
      </c>
      <c r="D4" s="90">
        <f>IF($H4=0,"",IF(D3&lt;&gt;"",D3+1,IF(D2&lt;&gt;"",D2+1,IF(D1&lt;&gt;"",D1+1,IF(#REF!&lt;&gt;"",#REF!+1,"samo 3 fakture mogu biti prazne iznad")))))</f>
        <v>1201</v>
      </c>
      <c r="E4" s="90">
        <f>IF(H4=0,"",IF(E3&lt;&gt;"",E3+1,IF(E2&lt;&gt;"",E2+1,IF(E1&lt;&gt;"",E1+1,IF(#REF!&lt;&gt;"",#REF!+1,"samo 3 fakture mogu biti prazne iznad")))))</f>
        <v>22188</v>
      </c>
      <c r="F4" s="63">
        <f>IF(H4&lt;1,"",'Fak3'!$K$32)</f>
        <v>92.61</v>
      </c>
      <c r="G4" s="63">
        <f>IF(H4&lt;1,"",'Fak3'!$K$33)</f>
        <v>15.74</v>
      </c>
      <c r="H4" s="63">
        <f>'Fak3'!$K$34</f>
        <v>108.35</v>
      </c>
      <c r="I4" s="62">
        <f t="shared" ca="1" si="0"/>
        <v>44635</v>
      </c>
      <c r="J4" s="100"/>
    </row>
    <row r="5" spans="1:20">
      <c r="A5" s="94" t="s">
        <v>217</v>
      </c>
      <c r="B5" t="str">
        <f>IF(H5&lt;1, "",'Fak4'!$C$10)</f>
        <v>BINGO d.o.o. Tuzla</v>
      </c>
      <c r="C5" t="str">
        <f>IF(H5&lt;1, "",'Fak4'!$C$12)</f>
        <v>Hipermarket Kolodvorska PJ 143, Sarajevo 71000</v>
      </c>
      <c r="D5" s="90">
        <f>IF($H5=0,"",IF(D4&lt;&gt;"",D4+1,IF(D3&lt;&gt;"",D3+1,IF(D2&lt;&gt;"",D2+1,IF(D1&lt;&gt;"",D1+1,"samo 3 fakture mogu biti prazne iznad")))))</f>
        <v>1202</v>
      </c>
      <c r="E5" s="90">
        <f>IF($H5=0,"",IF(E4&lt;&gt;"",E4+1,IF(E3&lt;&gt;"",E3+1,IF(E2&lt;&gt;"",E2+1,IF(E1&lt;&gt;"",E1+1,"samo 3 fakture mogu biti prazne iznad")))))</f>
        <v>22189</v>
      </c>
      <c r="F5" s="63">
        <f>IF(H5&lt;1,"",'Fak4'!$K$32)</f>
        <v>46.56</v>
      </c>
      <c r="G5" s="63">
        <f>IF(H5&lt;1,"",'Fak4'!$K$33)</f>
        <v>7.92</v>
      </c>
      <c r="H5" s="63">
        <f>'Fak4'!$K$34</f>
        <v>54.48</v>
      </c>
      <c r="I5" s="62">
        <f t="shared" ca="1" si="0"/>
        <v>44635</v>
      </c>
      <c r="J5" s="100"/>
    </row>
    <row r="6" spans="1:20">
      <c r="A6" s="94" t="s">
        <v>218</v>
      </c>
      <c r="B6" t="str">
        <f>IF(H6&lt;1, "",'Fak5'!$C$10)</f>
        <v>Zelenara trgovinska radnja</v>
      </c>
      <c r="C6" t="str">
        <f>IF(H6&lt;1, "",'Fak5'!$C$12)</f>
        <v>Zelenara, Svetosavska 19</v>
      </c>
      <c r="D6" s="90">
        <f t="shared" ref="D6:D20" si="1">IF($H6=0,"",IF(D5&lt;&gt;"",D5+1,IF(D4&lt;&gt;"",D4+1,IF(D3&lt;&gt;"",D3+1,IF(D2&lt;&gt;"",D2+1,"samo 3 fakture mogu biti prazne iznad")))))</f>
        <v>1203</v>
      </c>
      <c r="E6" s="90">
        <f>IF(H6=0,"",IF(E5&lt;&gt;"",E5+1,IF(E4&lt;&gt;"",E4+1,IF(E3&lt;&gt;"",E3+1,IF(E2&lt;&gt;"",E2+1,"samo 3 fakture mogu biti prazne iznad")))))</f>
        <v>22190</v>
      </c>
      <c r="F6" s="63">
        <f>IF(H6&lt;1,"",'Fak5'!$K$32)</f>
        <v>77.510000000000005</v>
      </c>
      <c r="G6" s="63">
        <f>IF(H6&lt;1,"",'Fak5'!$K$33)</f>
        <v>13.18</v>
      </c>
      <c r="H6" s="63">
        <f>'Fak5'!$K$34</f>
        <v>90.69</v>
      </c>
      <c r="I6" s="62">
        <f t="shared" ca="1" si="0"/>
        <v>44635</v>
      </c>
      <c r="J6" s="100"/>
    </row>
    <row r="7" spans="1:20">
      <c r="A7" s="94" t="s">
        <v>219</v>
      </c>
      <c r="B7" t="str">
        <f>IF(H7&lt;1, "",'Fak6'!$C$10)</f>
        <v>BINGO d.o.o. Tuzla</v>
      </c>
      <c r="C7" t="str">
        <f>IF(H7&lt;1, "",'Fak6'!$C$12)</f>
        <v>BCC Sarajevo, PJ. 247</v>
      </c>
      <c r="D7" s="90">
        <f t="shared" si="1"/>
        <v>1204</v>
      </c>
      <c r="E7" s="90">
        <f t="shared" ref="E7:E29" si="2">IF(H7=0,"",IF(E6&lt;&gt;"",E6+1,IF(E5&lt;&gt;"",E5+1,IF(E4&lt;&gt;"",E4+1,IF(E3&lt;&gt;"",E3+1,"samo 3 fakture mogu biti prazne iznad")))))</f>
        <v>22191</v>
      </c>
      <c r="F7" s="63">
        <f>IF(H7&lt;1,"",'Fak6'!$K$32)</f>
        <v>106.87</v>
      </c>
      <c r="G7" s="63">
        <f>IF(H7&lt;1,"",'Fak6'!$K$33)</f>
        <v>18.170000000000002</v>
      </c>
      <c r="H7" s="63">
        <f>'Fak6'!$K$34</f>
        <v>125.04</v>
      </c>
      <c r="I7" s="62">
        <f t="shared" ca="1" si="0"/>
        <v>44635</v>
      </c>
      <c r="J7" s="100"/>
      <c r="L7" s="64" t="s">
        <v>220</v>
      </c>
    </row>
    <row r="8" spans="1:20">
      <c r="A8" s="94" t="s">
        <v>221</v>
      </c>
      <c r="B8" t="str">
        <f>IF(H8&lt;1, "",'Fak7'!$C$10)</f>
        <v>Zelenara trgovinska radnja</v>
      </c>
      <c r="C8" t="str">
        <f>IF(H8&lt;1, "",'Fak7'!$C$12)</f>
        <v>Zelenara, Svetosavska 19</v>
      </c>
      <c r="D8" s="90">
        <f t="shared" si="1"/>
        <v>1205</v>
      </c>
      <c r="E8" s="90">
        <f t="shared" si="2"/>
        <v>22192</v>
      </c>
      <c r="F8" s="63">
        <f>IF(H8&lt;1,"",'Fak7'!$K$32)</f>
        <v>47.57</v>
      </c>
      <c r="G8" s="63">
        <f>IF(H8&lt;1,"",'Fak7'!$K$33)</f>
        <v>8.09</v>
      </c>
      <c r="H8" s="63">
        <f>'Fak7'!$K$34</f>
        <v>55.66</v>
      </c>
      <c r="I8" s="62">
        <f t="shared" ca="1" si="0"/>
        <v>44635</v>
      </c>
      <c r="J8" s="100"/>
      <c r="L8" s="65" t="s">
        <v>222</v>
      </c>
      <c r="M8">
        <f>LOOKUP(2,1/(KIF!C:C&lt;&gt;""),KIF!C:C)</f>
        <v>1198</v>
      </c>
      <c r="O8" s="127" t="s">
        <v>223</v>
      </c>
      <c r="T8">
        <f>LOOKUP(2,1/(KIF!C:C&lt;&gt;""),KIF!C:C)</f>
        <v>1198</v>
      </c>
    </row>
    <row r="9" spans="1:20">
      <c r="A9" s="94" t="s">
        <v>224</v>
      </c>
      <c r="B9" t="str">
        <f>IF(H9&lt;1, "",'Fak8'!$C$10)</f>
        <v xml:space="preserve">Lounge bar "Shane" Nedeljko Bakula </v>
      </c>
      <c r="C9" t="str">
        <f>IF(H9&lt;1, "",'Fak8'!$C$12)</f>
        <v>Shane, Akademika Petra Mandića 17</v>
      </c>
      <c r="D9" s="90">
        <f t="shared" si="1"/>
        <v>1206</v>
      </c>
      <c r="E9" s="90">
        <f t="shared" si="2"/>
        <v>22193</v>
      </c>
      <c r="F9" s="63">
        <f>IF(H9&lt;1,"",'Fak8'!$K$32)</f>
        <v>22.6</v>
      </c>
      <c r="G9" s="63">
        <f>IF(H9&lt;1,"",'Fak8'!$K$33)</f>
        <v>3.84</v>
      </c>
      <c r="H9" s="63">
        <f>'Fak8'!$K$34</f>
        <v>26.44</v>
      </c>
      <c r="I9" s="62">
        <f t="shared" ca="1" si="0"/>
        <v>44635</v>
      </c>
      <c r="J9" s="100"/>
      <c r="L9" s="65" t="s">
        <v>225</v>
      </c>
      <c r="M9" s="127">
        <f>LOOKUP(2,1/(KIF!D:D&lt;&gt;""),KIF!D:D)</f>
        <v>22185</v>
      </c>
      <c r="O9" s="127"/>
      <c r="T9">
        <f>LOOKUP(2,1/(KIF!D:D&lt;&gt;""),KIF!D:D)</f>
        <v>22185</v>
      </c>
    </row>
    <row r="10" spans="1:20">
      <c r="A10" s="94" t="s">
        <v>226</v>
      </c>
      <c r="B10" t="str">
        <f>IF(H10&lt;1, "",'Fak9'!$C$10)</f>
        <v>UR "4Sobe Gospođe Safije"</v>
      </c>
      <c r="C10" t="str">
        <f>IF(H10&lt;1, "",'Fak9'!$C$12)</f>
        <v>4SGS , Čekaluša 61</v>
      </c>
      <c r="D10" s="90">
        <f t="shared" si="1"/>
        <v>1207</v>
      </c>
      <c r="E10" s="90">
        <f t="shared" si="2"/>
        <v>22194</v>
      </c>
      <c r="F10" s="63">
        <f>IF(H10&lt;1,"",'Fak9'!$K$32)</f>
        <v>22.08</v>
      </c>
      <c r="G10" s="63">
        <f>IF(H10&lt;1,"",'Fak9'!$K$33)</f>
        <v>3.75</v>
      </c>
      <c r="H10" s="63">
        <f>'Fak9'!$K$34</f>
        <v>25.83</v>
      </c>
      <c r="I10" s="62">
        <f t="shared" ca="1" si="0"/>
        <v>44635</v>
      </c>
      <c r="J10" s="100"/>
    </row>
    <row r="11" spans="1:20">
      <c r="A11" s="94" t="s">
        <v>227</v>
      </c>
      <c r="B11" t="str">
        <f>IF(H11&lt;1, "",'Fak10'!$C$10)</f>
        <v>A&amp;G D.O.O.</v>
      </c>
      <c r="C11" t="str">
        <f>IF(H11&lt;1, "",'Fak10'!$C$12)</f>
        <v>Trg Kralja Aleksandra 2</v>
      </c>
      <c r="D11" s="90">
        <f t="shared" si="1"/>
        <v>1208</v>
      </c>
      <c r="E11" s="90">
        <f t="shared" si="2"/>
        <v>22195</v>
      </c>
      <c r="F11" s="63">
        <f>IF(H11&lt;1,"",'Fak10'!$K$32)</f>
        <v>76.03</v>
      </c>
      <c r="G11" s="63">
        <f>IF(H11&lt;1,"",'Fak10'!$K$33)</f>
        <v>12.93</v>
      </c>
      <c r="H11" s="63">
        <f>'Fak10'!$K$34</f>
        <v>88.96</v>
      </c>
      <c r="I11" s="62">
        <f t="shared" ca="1" si="0"/>
        <v>44635</v>
      </c>
      <c r="J11" s="100"/>
    </row>
    <row r="12" spans="1:20">
      <c r="A12" s="94" t="s">
        <v>228</v>
      </c>
      <c r="B12" t="str">
        <f>IF(H12&lt;1, "",'Fak11'!$C$10)</f>
        <v>UR "BAOLI" Sarajevo</v>
      </c>
      <c r="C12" t="str">
        <f>IF(H12&lt;1, "",'Fak11'!$C$12)</f>
        <v>Baoli, Avde Sumbula 3</v>
      </c>
      <c r="D12" s="90">
        <f t="shared" si="1"/>
        <v>1209</v>
      </c>
      <c r="E12" s="90">
        <f t="shared" si="2"/>
        <v>22196</v>
      </c>
      <c r="F12" s="63">
        <f>IF(H12&lt;1,"",'Fak11'!$K$32)</f>
        <v>52.62</v>
      </c>
      <c r="G12" s="63">
        <f>IF(H12&lt;1,"",'Fak11'!$K$33)</f>
        <v>8.9499999999999993</v>
      </c>
      <c r="H12" s="63">
        <f>'Fak11'!$K$34</f>
        <v>61.57</v>
      </c>
      <c r="I12" s="62">
        <f t="shared" ca="1" si="0"/>
        <v>44635</v>
      </c>
      <c r="J12" s="100"/>
    </row>
    <row r="13" spans="1:20">
      <c r="A13" s="94" t="s">
        <v>229</v>
      </c>
      <c r="B13" t="str">
        <f>IF(H13&lt;1, "",'Fak12'!$C$10)</f>
        <v>UR "Park Prinčeva"</v>
      </c>
      <c r="C13" t="str">
        <f>IF(H13&lt;1, "",'Fak12'!$C$12)</f>
        <v>Park Prinčeva, Iza Hrida 7</v>
      </c>
      <c r="D13" s="90">
        <f t="shared" si="1"/>
        <v>1210</v>
      </c>
      <c r="E13" s="90">
        <f t="shared" si="2"/>
        <v>22197</v>
      </c>
      <c r="F13" s="63">
        <f>IF(H13&lt;1,"",'Fak12'!$K$32)</f>
        <v>35.880000000000003</v>
      </c>
      <c r="G13" s="63">
        <f>IF(H13&lt;1,"",'Fak12'!$K$33)</f>
        <v>6.1</v>
      </c>
      <c r="H13" s="63">
        <f>'Fak12'!$K$34</f>
        <v>41.98</v>
      </c>
      <c r="I13" s="62">
        <f t="shared" ca="1" si="0"/>
        <v>44635</v>
      </c>
    </row>
    <row r="14" spans="1:20">
      <c r="A14" s="94" t="s">
        <v>230</v>
      </c>
      <c r="B14" t="str">
        <f>IF(H14&lt;1, "",'Fak13'!$C$10)</f>
        <v>Knock-knock d.o.o.</v>
      </c>
      <c r="C14" t="str">
        <f>IF(H14&lt;1, "",'Fak13'!$C$12)</f>
        <v>Knock, Maršala Tita 54</v>
      </c>
      <c r="D14" s="90">
        <f t="shared" si="1"/>
        <v>1211</v>
      </c>
      <c r="E14" s="90">
        <f t="shared" si="2"/>
        <v>22198</v>
      </c>
      <c r="F14" s="63">
        <f>IF(H14&lt;1,"",'Fak13'!$K$32)</f>
        <v>73.599999999999994</v>
      </c>
      <c r="G14" s="63">
        <f>IF(H14&lt;1,"",'Fak13'!$K$33)</f>
        <v>12.51</v>
      </c>
      <c r="H14" s="63">
        <f>'Fak13'!$K$34</f>
        <v>86.11</v>
      </c>
      <c r="I14" s="62">
        <f t="shared" ca="1" si="0"/>
        <v>44635</v>
      </c>
      <c r="K14" s="191"/>
      <c r="L14" s="191"/>
    </row>
    <row r="15" spans="1:20">
      <c r="A15" s="94" t="s">
        <v>231</v>
      </c>
      <c r="B15" t="str">
        <f>IF(H15&lt;1, "",'Fak14'!$C$10)</f>
        <v>MORE d.o.o.</v>
      </c>
      <c r="C15" t="str">
        <f>IF(H15&lt;1, "",'Fak14'!$C$12)</f>
        <v>VEGANER - ul. Čobanija br 1</v>
      </c>
      <c r="D15" s="90">
        <f t="shared" si="1"/>
        <v>1212</v>
      </c>
      <c r="E15" s="90">
        <f t="shared" si="2"/>
        <v>22199</v>
      </c>
      <c r="F15" s="63">
        <f>IF(H15&lt;1,"",'Fak14'!$K$32)</f>
        <v>24.29</v>
      </c>
      <c r="G15" s="63">
        <f>IF(H15&lt;1,"",'Fak14'!$K$33)</f>
        <v>4.13</v>
      </c>
      <c r="H15" s="63">
        <f>'Fak14'!$K$34</f>
        <v>28.42</v>
      </c>
      <c r="I15" s="62">
        <f t="shared" ca="1" si="0"/>
        <v>44635</v>
      </c>
      <c r="K15" s="191"/>
      <c r="L15" s="191"/>
    </row>
    <row r="16" spans="1:20">
      <c r="A16" s="94" t="s">
        <v>232</v>
      </c>
      <c r="B16" t="str">
        <f>IF(H16&lt;1, "",'Fak15'!$C$10)</f>
        <v/>
      </c>
      <c r="C16" t="str">
        <f>IF(H16&lt;1, "",'Fak15'!$C$12)</f>
        <v/>
      </c>
      <c r="D16" s="90" t="str">
        <f t="shared" si="1"/>
        <v/>
      </c>
      <c r="E16" s="90" t="str">
        <f t="shared" si="2"/>
        <v/>
      </c>
      <c r="F16" s="63" t="str">
        <f>IF(H16&lt;1,"",'Fak15'!$K$32)</f>
        <v/>
      </c>
      <c r="G16" s="63" t="str">
        <f>IF(H16&lt;1,"",'Fak15'!$K$33)</f>
        <v/>
      </c>
      <c r="H16" s="63">
        <f>'Fak15'!$K$34</f>
        <v>0</v>
      </c>
      <c r="I16" s="62">
        <f t="shared" ca="1" si="0"/>
        <v>44635</v>
      </c>
      <c r="K16" s="190"/>
      <c r="L16" s="190"/>
    </row>
    <row r="17" spans="1:12">
      <c r="A17" s="94" t="s">
        <v>233</v>
      </c>
      <c r="B17" t="str">
        <f>IF(H17&lt;1, "",'Fak16'!$C$10)</f>
        <v/>
      </c>
      <c r="C17" t="str">
        <f>IF(H17&lt;1, "",'Fak16'!$C$12)</f>
        <v/>
      </c>
      <c r="D17" s="90" t="str">
        <f t="shared" si="1"/>
        <v/>
      </c>
      <c r="E17" s="90" t="str">
        <f t="shared" si="2"/>
        <v/>
      </c>
      <c r="F17" s="63" t="str">
        <f>IF(H17&lt;1,"",'Fak16'!$K$32)</f>
        <v/>
      </c>
      <c r="G17" s="63" t="str">
        <f>IF(H17&lt;1,"",'Fak16'!$K$33)</f>
        <v/>
      </c>
      <c r="H17" s="63">
        <f>'Fak16'!$K$34</f>
        <v>0</v>
      </c>
      <c r="I17" s="62">
        <f t="shared" ca="1" si="0"/>
        <v>44635</v>
      </c>
      <c r="K17" s="191"/>
      <c r="L17" s="191"/>
    </row>
    <row r="18" spans="1:12">
      <c r="A18" s="94" t="s">
        <v>234</v>
      </c>
      <c r="B18" t="str">
        <f>IF(H18&lt;1, "",'Fak17'!$C$10)</f>
        <v/>
      </c>
      <c r="C18" t="str">
        <f>IF(H18&lt;1, "",'Fak17'!$C$12)</f>
        <v/>
      </c>
      <c r="D18" s="90" t="str">
        <f t="shared" si="1"/>
        <v/>
      </c>
      <c r="E18" s="90" t="str">
        <f t="shared" si="2"/>
        <v/>
      </c>
      <c r="F18" s="63" t="str">
        <f>IF(H18&lt;1,"",'Fak17'!$K$32)</f>
        <v/>
      </c>
      <c r="G18" s="63" t="str">
        <f>IF(H18&lt;1,"",'Fak17'!$K$33)</f>
        <v/>
      </c>
      <c r="H18" s="63">
        <f>'Fak17'!$K$34</f>
        <v>0</v>
      </c>
      <c r="I18" s="62">
        <f t="shared" ca="1" si="0"/>
        <v>44635</v>
      </c>
      <c r="K18" s="190"/>
      <c r="L18" s="190"/>
    </row>
    <row r="19" spans="1:12">
      <c r="A19" s="94" t="s">
        <v>235</v>
      </c>
      <c r="B19" t="str">
        <f>IF(H19&lt;1, "",'Fak18'!$C$10)</f>
        <v/>
      </c>
      <c r="C19" t="str">
        <f>IF(H19&lt;1, "",'Fak18'!$C$12)</f>
        <v/>
      </c>
      <c r="D19" s="90" t="str">
        <f t="shared" si="1"/>
        <v/>
      </c>
      <c r="E19" s="90" t="str">
        <f t="shared" si="2"/>
        <v/>
      </c>
      <c r="F19" s="63" t="str">
        <f>IF(H19&lt;1,"",'Fak18'!$K$32)</f>
        <v/>
      </c>
      <c r="G19" s="63" t="str">
        <f>IF(H19&lt;1,"",'Fak18'!$K$33)</f>
        <v/>
      </c>
      <c r="H19" s="63">
        <f>'Fak18'!$K$34</f>
        <v>0</v>
      </c>
      <c r="I19" s="62">
        <f t="shared" ca="1" si="0"/>
        <v>44635</v>
      </c>
      <c r="K19" s="191"/>
      <c r="L19" s="191"/>
    </row>
    <row r="20" spans="1:12">
      <c r="A20" s="94" t="s">
        <v>236</v>
      </c>
      <c r="B20" t="str">
        <f>IF(H20&lt;1, "",'Fak19'!$C$10)</f>
        <v/>
      </c>
      <c r="C20" t="str">
        <f>IF(H20&lt;1, "",'Fak19'!$C$12)</f>
        <v/>
      </c>
      <c r="D20" s="90" t="str">
        <f t="shared" si="1"/>
        <v/>
      </c>
      <c r="E20" s="90" t="str">
        <f t="shared" si="2"/>
        <v/>
      </c>
      <c r="F20" s="63" t="str">
        <f>IF(H20&lt;1,"",'Fak19'!$K$32)</f>
        <v/>
      </c>
      <c r="G20" s="63" t="str">
        <f>IF(H20&lt;1,"",'Fak19'!$K$33)</f>
        <v/>
      </c>
      <c r="H20" s="63">
        <f>'Fak19'!$K$34</f>
        <v>0</v>
      </c>
      <c r="I20" s="62">
        <f t="shared" ca="1" si="0"/>
        <v>44635</v>
      </c>
      <c r="K20" s="190"/>
      <c r="L20" s="190"/>
    </row>
    <row r="21" spans="1:12" ht="15" thickBot="1">
      <c r="A21" s="95"/>
      <c r="B21" s="96"/>
      <c r="C21" s="96"/>
      <c r="D21" s="101" t="str">
        <f>IF(H21&lt;1,"",IF(E19&gt;1,E19+1,IF(E18&gt;1,E18+1,IF(E17&gt;1,E17+1,"samo 3 fakture mogu biti prazne iznad"))))</f>
        <v/>
      </c>
      <c r="E21" s="97" t="str">
        <f t="shared" si="2"/>
        <v/>
      </c>
      <c r="F21" s="98"/>
      <c r="G21" s="98"/>
      <c r="H21" s="98"/>
      <c r="I21" s="102"/>
      <c r="J21" s="96"/>
      <c r="K21" s="191"/>
      <c r="L21" s="191"/>
    </row>
    <row r="22" spans="1:12">
      <c r="D22" s="89" t="str">
        <f>IF(H22&lt;1,"",IF(E20&gt;1,E20+1,IF(E19&gt;1,E19+1,IF(E18&gt;1,E18+1,"samo 3 fakture mogu biti prazne iznad"))))</f>
        <v/>
      </c>
      <c r="E22" s="90" t="str">
        <f t="shared" si="2"/>
        <v/>
      </c>
      <c r="F22" s="63"/>
      <c r="G22" s="63"/>
      <c r="H22" s="63"/>
      <c r="I22" s="62"/>
      <c r="K22" s="190"/>
      <c r="L22" s="190"/>
    </row>
    <row r="23" spans="1:12">
      <c r="D23" s="89" t="str">
        <f>IF(H23&lt;1,"",IF(E21&gt;1,E21+1,IF(E20&gt;1,E20+1,IF(E19&gt;1,E19+1,"samo 3 fakture mogu biti prazne iznad"))))</f>
        <v/>
      </c>
      <c r="E23" s="90" t="str">
        <f t="shared" si="2"/>
        <v/>
      </c>
      <c r="F23" s="63"/>
      <c r="G23" s="63"/>
      <c r="H23" s="63"/>
      <c r="I23" s="62"/>
    </row>
    <row r="24" spans="1:12">
      <c r="D24" s="89" t="str">
        <f>IF(H24&lt;1,"",IF(E29&gt;1,E29+1,IF(E21&gt;1,E21+1,IF(E20&gt;1,E20+1,"samo 3 fakture mogu biti prazne iznad"))))</f>
        <v/>
      </c>
      <c r="E24" s="90" t="str">
        <f t="shared" si="2"/>
        <v/>
      </c>
      <c r="F24" s="63"/>
      <c r="G24" s="63"/>
      <c r="H24" s="63"/>
      <c r="I24" s="62"/>
    </row>
    <row r="25" spans="1:12">
      <c r="D25"/>
      <c r="E25" s="90" t="str">
        <f t="shared" si="2"/>
        <v/>
      </c>
    </row>
    <row r="26" spans="1:12">
      <c r="D26"/>
      <c r="E26" s="90" t="str">
        <f t="shared" si="2"/>
        <v/>
      </c>
    </row>
    <row r="27" spans="1:12">
      <c r="D27"/>
      <c r="E27" s="90" t="str">
        <f t="shared" si="2"/>
        <v/>
      </c>
    </row>
    <row r="28" spans="1:12">
      <c r="C28" s="1"/>
      <c r="E28" s="90" t="str">
        <f t="shared" si="2"/>
        <v/>
      </c>
    </row>
    <row r="29" spans="1:12">
      <c r="C29" s="1"/>
      <c r="D29"/>
      <c r="E29" s="90" t="str">
        <f t="shared" si="2"/>
        <v/>
      </c>
    </row>
    <row r="30" spans="1:12">
      <c r="D30"/>
      <c r="E30" s="90"/>
    </row>
    <row r="31" spans="1:12">
      <c r="D31"/>
    </row>
    <row r="32" spans="1:12">
      <c r="B32" s="66"/>
      <c r="D32"/>
    </row>
    <row r="33" spans="4:4">
      <c r="D33"/>
    </row>
  </sheetData>
  <sheetProtection sheet="1" objects="1" scenarios="1"/>
  <mergeCells count="9">
    <mergeCell ref="K20:L20"/>
    <mergeCell ref="K21:L21"/>
    <mergeCell ref="K22:L22"/>
    <mergeCell ref="K14:L14"/>
    <mergeCell ref="K15:L15"/>
    <mergeCell ref="K16:L16"/>
    <mergeCell ref="K17:L17"/>
    <mergeCell ref="K18:L18"/>
    <mergeCell ref="K19:L19"/>
  </mergeCells>
  <pageMargins left="0.7" right="0.7" top="0.75" bottom="0.75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53D4-FDCC-4BB6-965C-BEDACC64F4F9}">
  <sheetPr codeName="Sheet5"/>
  <dimension ref="A1:Y51"/>
  <sheetViews>
    <sheetView topLeftCell="B1" zoomScale="73" zoomScaleNormal="73" workbookViewId="0">
      <pane ySplit="1" topLeftCell="A2" activePane="bottomLeft" state="frozen"/>
      <selection pane="bottomLeft" activeCell="F12" sqref="F12"/>
    </sheetView>
  </sheetViews>
  <sheetFormatPr defaultRowHeight="14.45"/>
  <cols>
    <col min="2" max="2" width="27.5703125" customWidth="1"/>
    <col min="3" max="4" width="4.5703125" style="44" customWidth="1"/>
    <col min="5" max="5" width="5.85546875" style="45" customWidth="1"/>
    <col min="6" max="6" width="9.7109375" customWidth="1"/>
  </cols>
  <sheetData>
    <row r="1" spans="1:25" s="60" customFormat="1" ht="15.6">
      <c r="A1" s="193" t="s">
        <v>203</v>
      </c>
      <c r="B1" s="193"/>
      <c r="C1" s="193"/>
      <c r="D1" s="193"/>
      <c r="E1" s="193"/>
      <c r="F1" s="60" t="s">
        <v>237</v>
      </c>
      <c r="G1" s="60" t="s">
        <v>238</v>
      </c>
      <c r="H1" s="60" t="s">
        <v>239</v>
      </c>
      <c r="I1" s="60" t="s">
        <v>240</v>
      </c>
      <c r="J1" s="60" t="s">
        <v>241</v>
      </c>
      <c r="K1" s="60" t="s">
        <v>242</v>
      </c>
      <c r="L1" s="60" t="s">
        <v>243</v>
      </c>
      <c r="M1" s="60" t="s">
        <v>244</v>
      </c>
      <c r="N1" s="60" t="s">
        <v>245</v>
      </c>
      <c r="O1" s="60" t="s">
        <v>246</v>
      </c>
      <c r="P1" s="60" t="s">
        <v>247</v>
      </c>
      <c r="Q1" s="60" t="s">
        <v>248</v>
      </c>
      <c r="R1" s="60" t="s">
        <v>249</v>
      </c>
      <c r="S1" s="60" t="s">
        <v>250</v>
      </c>
      <c r="T1" s="60" t="s">
        <v>251</v>
      </c>
      <c r="U1" s="60" t="s">
        <v>252</v>
      </c>
      <c r="V1" s="60" t="s">
        <v>253</v>
      </c>
      <c r="W1" s="60" t="s">
        <v>254</v>
      </c>
      <c r="X1" s="60" t="s">
        <v>255</v>
      </c>
    </row>
    <row r="2" spans="1:25" s="8" customFormat="1" ht="57" customHeight="1">
      <c r="A2" s="192" t="s">
        <v>256</v>
      </c>
      <c r="B2" s="128" t="s">
        <v>0</v>
      </c>
      <c r="C2" s="129"/>
      <c r="D2" s="129"/>
      <c r="E2" s="130"/>
      <c r="F2" s="144" t="s">
        <v>8</v>
      </c>
      <c r="G2" s="144" t="s">
        <v>15</v>
      </c>
      <c r="H2" s="144" t="s">
        <v>16</v>
      </c>
      <c r="I2" s="144" t="s">
        <v>20</v>
      </c>
      <c r="J2" s="144" t="s">
        <v>55</v>
      </c>
      <c r="K2" s="144" t="s">
        <v>79</v>
      </c>
      <c r="L2" s="144" t="s">
        <v>55</v>
      </c>
      <c r="M2" s="144" t="s">
        <v>70</v>
      </c>
      <c r="N2" s="144" t="s">
        <v>39</v>
      </c>
      <c r="O2" s="144" t="s">
        <v>117</v>
      </c>
      <c r="P2" s="144" t="s">
        <v>75</v>
      </c>
      <c r="Q2" s="144" t="s">
        <v>92</v>
      </c>
      <c r="R2" s="144" t="s">
        <v>96</v>
      </c>
      <c r="S2" s="144" t="s">
        <v>257</v>
      </c>
      <c r="T2" s="144" t="s">
        <v>60</v>
      </c>
      <c r="U2" s="144" t="s">
        <v>114</v>
      </c>
      <c r="V2" s="144"/>
      <c r="W2" s="144"/>
      <c r="X2" s="144"/>
      <c r="Y2" s="8" t="s">
        <v>258</v>
      </c>
    </row>
    <row r="3" spans="1:25" ht="21" customHeight="1">
      <c r="A3" s="192"/>
      <c r="B3" t="s">
        <v>145</v>
      </c>
      <c r="C3" s="131" t="s">
        <v>147</v>
      </c>
      <c r="D3" s="131"/>
      <c r="E3" s="132" t="s">
        <v>259</v>
      </c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</row>
    <row r="4" spans="1:25" s="58" customFormat="1" ht="15">
      <c r="A4" s="134">
        <f>artikli!A2</f>
        <v>1</v>
      </c>
      <c r="B4" s="134" t="str">
        <f>IF(ISBLANK($A$4), "",VLOOKUP($A$4,artikli,2,FALSE))</f>
        <v>svježe klice Alfalfa        90218476</v>
      </c>
      <c r="C4" s="135" t="str">
        <f t="shared" ref="C4:C50" si="0">IF(ISBLANK($A4), "",VLOOKUP($A4,artikli,4,FALSE))</f>
        <v>kom</v>
      </c>
      <c r="D4" s="135"/>
      <c r="E4" s="136">
        <f t="shared" ref="E4:E50" si="1">IF(ISBLANK($A4), "",VLOOKUP($A4,artikli,3,FALSE))</f>
        <v>2.75</v>
      </c>
      <c r="F4" s="145"/>
      <c r="G4" s="145">
        <v>2</v>
      </c>
      <c r="H4" s="145"/>
      <c r="I4" s="146"/>
      <c r="J4" s="145"/>
      <c r="K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</row>
    <row r="5" spans="1:25" s="58" customFormat="1" ht="15">
      <c r="A5" s="134">
        <f>artikli!A3</f>
        <v>2</v>
      </c>
      <c r="B5" s="134" t="str">
        <f t="shared" ref="B5:B51" si="2">IF(ISBLANK($A5), "",VLOOKUP($A5,artikli,2,FALSE))</f>
        <v>svježe klice mix 1         90218479</v>
      </c>
      <c r="C5" s="135" t="str">
        <f t="shared" si="0"/>
        <v>kom</v>
      </c>
      <c r="D5" s="135"/>
      <c r="E5" s="136">
        <f t="shared" si="1"/>
        <v>2.75</v>
      </c>
      <c r="F5" s="145"/>
      <c r="G5" s="145">
        <v>1</v>
      </c>
      <c r="H5" s="145"/>
      <c r="I5" s="146"/>
      <c r="J5" s="145"/>
      <c r="K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</row>
    <row r="6" spans="1:25" s="58" customFormat="1" ht="15">
      <c r="A6" s="134">
        <f>artikli!A4</f>
        <v>3</v>
      </c>
      <c r="B6" s="134" t="str">
        <f t="shared" si="2"/>
        <v>svježe klice mix 2         90218481</v>
      </c>
      <c r="C6" s="135" t="str">
        <f t="shared" si="0"/>
        <v>kom</v>
      </c>
      <c r="D6" s="135"/>
      <c r="E6" s="136">
        <f t="shared" si="1"/>
        <v>2.75</v>
      </c>
      <c r="F6" s="145"/>
      <c r="G6" s="145">
        <v>2</v>
      </c>
      <c r="H6" s="145"/>
      <c r="I6" s="146"/>
      <c r="J6" s="145"/>
      <c r="K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</row>
    <row r="7" spans="1:25" s="58" customFormat="1" ht="15">
      <c r="A7" s="134">
        <f>artikli!A5</f>
        <v>4</v>
      </c>
      <c r="B7" s="134" t="str">
        <f t="shared" si="2"/>
        <v>svježe klice mix 3         90218485</v>
      </c>
      <c r="C7" s="135" t="str">
        <f t="shared" si="0"/>
        <v>kom</v>
      </c>
      <c r="D7" s="135"/>
      <c r="E7" s="136">
        <f t="shared" si="1"/>
        <v>2.75</v>
      </c>
      <c r="F7" s="145"/>
      <c r="G7" s="145">
        <v>1</v>
      </c>
      <c r="H7" s="145"/>
      <c r="I7" s="146"/>
      <c r="J7" s="145"/>
      <c r="K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</row>
    <row r="8" spans="1:25" s="58" customFormat="1" ht="15">
      <c r="A8" s="134">
        <f>artikli!A6</f>
        <v>7</v>
      </c>
      <c r="B8" s="134" t="str">
        <f t="shared" si="2"/>
        <v>mikropovrće Brokula    90243657</v>
      </c>
      <c r="C8" s="135" t="str">
        <f t="shared" si="0"/>
        <v>kom</v>
      </c>
      <c r="D8" s="135"/>
      <c r="E8" s="136">
        <f t="shared" si="1"/>
        <v>3.07</v>
      </c>
      <c r="F8" s="145"/>
      <c r="G8" s="145">
        <v>5</v>
      </c>
      <c r="H8" s="145"/>
      <c r="I8" s="146"/>
      <c r="J8" s="145"/>
      <c r="K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</row>
    <row r="9" spans="1:25" s="58" customFormat="1" ht="15">
      <c r="A9" s="134">
        <f>artikli!A7</f>
        <v>6</v>
      </c>
      <c r="B9" s="134" t="str">
        <f t="shared" si="2"/>
        <v>mikropovrće mix1        90243658</v>
      </c>
      <c r="C9" s="135" t="str">
        <f t="shared" si="0"/>
        <v>kom</v>
      </c>
      <c r="D9" s="135"/>
      <c r="E9" s="136">
        <f t="shared" si="1"/>
        <v>3.07</v>
      </c>
      <c r="F9" s="145"/>
      <c r="G9" s="145">
        <v>1</v>
      </c>
      <c r="H9" s="145"/>
      <c r="I9" s="146"/>
      <c r="J9" s="145"/>
      <c r="K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</row>
    <row r="10" spans="1:25" s="58" customFormat="1" ht="15">
      <c r="A10" s="134">
        <f>artikli!A8</f>
        <v>5</v>
      </c>
      <c r="B10" s="134" t="str">
        <f t="shared" si="2"/>
        <v>mikropovrće mix2        90243659</v>
      </c>
      <c r="C10" s="135" t="str">
        <f t="shared" si="0"/>
        <v>kom</v>
      </c>
      <c r="D10" s="135"/>
      <c r="E10" s="136">
        <f t="shared" si="1"/>
        <v>3.07</v>
      </c>
      <c r="F10" s="145"/>
      <c r="G10" s="145">
        <v>2</v>
      </c>
      <c r="H10" s="145"/>
      <c r="I10" s="146"/>
      <c r="J10" s="145"/>
      <c r="K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</row>
    <row r="11" spans="1:25" s="58" customFormat="1" ht="15">
      <c r="A11" s="134">
        <f>artikli!A9</f>
        <v>8</v>
      </c>
      <c r="B11" s="134" t="str">
        <f t="shared" si="2"/>
        <v>mikropovrće Rukola     90277072</v>
      </c>
      <c r="C11" s="135" t="str">
        <f t="shared" si="0"/>
        <v>kom</v>
      </c>
      <c r="D11" s="135"/>
      <c r="E11" s="136">
        <f t="shared" si="1"/>
        <v>3.07</v>
      </c>
      <c r="F11" s="145"/>
      <c r="G11" s="145"/>
      <c r="H11" s="145"/>
      <c r="I11" s="146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</row>
    <row r="12" spans="1:25" s="59" customFormat="1" ht="15">
      <c r="A12" s="137">
        <f>artikli!A10</f>
        <v>9</v>
      </c>
      <c r="B12" s="137" t="str">
        <f t="shared" si="2"/>
        <v>svježe klice Alfalfa          D 17464</v>
      </c>
      <c r="C12" s="138" t="str">
        <f t="shared" si="0"/>
        <v>kom</v>
      </c>
      <c r="D12" s="139"/>
      <c r="E12" s="140">
        <f t="shared" si="1"/>
        <v>2.75</v>
      </c>
      <c r="F12" s="147"/>
      <c r="G12" s="147"/>
      <c r="H12" s="147">
        <v>4</v>
      </c>
      <c r="I12" s="148">
        <v>3</v>
      </c>
      <c r="J12" s="147">
        <v>1</v>
      </c>
      <c r="K12" s="147">
        <v>2</v>
      </c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</row>
    <row r="13" spans="1:25" s="59" customFormat="1" ht="15">
      <c r="A13" s="137">
        <f>artikli!A11</f>
        <v>10</v>
      </c>
      <c r="B13" s="137" t="str">
        <f t="shared" si="2"/>
        <v>svježe klice mix 1           D 17465</v>
      </c>
      <c r="C13" s="138" t="str">
        <f t="shared" si="0"/>
        <v>kom</v>
      </c>
      <c r="D13" s="139"/>
      <c r="E13" s="140">
        <f t="shared" si="1"/>
        <v>2.75</v>
      </c>
      <c r="F13" s="147"/>
      <c r="G13" s="147"/>
      <c r="H13" s="147">
        <v>2</v>
      </c>
      <c r="I13" s="148">
        <v>3</v>
      </c>
      <c r="J13" s="147">
        <v>1</v>
      </c>
      <c r="K13" s="147">
        <v>12</v>
      </c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</row>
    <row r="14" spans="1:25" s="59" customFormat="1" ht="15">
      <c r="A14" s="137">
        <f>artikli!A12</f>
        <v>11</v>
      </c>
      <c r="B14" s="137" t="str">
        <f t="shared" si="2"/>
        <v>svježe klice mix 2           D 17466</v>
      </c>
      <c r="C14" s="138" t="str">
        <f t="shared" si="0"/>
        <v>kom</v>
      </c>
      <c r="D14" s="139"/>
      <c r="E14" s="140">
        <f t="shared" si="1"/>
        <v>2.75</v>
      </c>
      <c r="F14" s="147"/>
      <c r="G14" s="147"/>
      <c r="H14" s="147"/>
      <c r="I14" s="148">
        <v>1</v>
      </c>
      <c r="J14" s="147">
        <v>2</v>
      </c>
      <c r="K14" s="147">
        <v>2</v>
      </c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</row>
    <row r="15" spans="1:25" s="59" customFormat="1" ht="15">
      <c r="A15" s="137">
        <f>artikli!A13</f>
        <v>12</v>
      </c>
      <c r="B15" s="137" t="str">
        <f t="shared" si="2"/>
        <v>svježe klice mix 3           D 17467</v>
      </c>
      <c r="C15" s="138" t="str">
        <f t="shared" si="0"/>
        <v>kom</v>
      </c>
      <c r="D15" s="139"/>
      <c r="E15" s="140">
        <f t="shared" si="1"/>
        <v>2.75</v>
      </c>
      <c r="F15" s="147"/>
      <c r="G15" s="147"/>
      <c r="H15" s="147">
        <v>2</v>
      </c>
      <c r="I15" s="148">
        <v>1</v>
      </c>
      <c r="J15" s="147">
        <v>1</v>
      </c>
      <c r="K15" s="147">
        <v>5</v>
      </c>
      <c r="L15" s="147"/>
      <c r="M15" s="147"/>
      <c r="N15" s="147"/>
      <c r="O15" s="147"/>
      <c r="P15" s="147"/>
      <c r="Q15" s="147"/>
      <c r="R15" s="147"/>
      <c r="S15" s="147"/>
      <c r="T15" s="147"/>
      <c r="U15" s="147"/>
      <c r="V15" s="147"/>
      <c r="W15" s="147"/>
      <c r="X15" s="147"/>
    </row>
    <row r="16" spans="1:25" s="59" customFormat="1" ht="15">
      <c r="A16" s="137">
        <f>artikli!A14</f>
        <v>13</v>
      </c>
      <c r="B16" s="137" t="str">
        <f t="shared" si="2"/>
        <v>mikropovrće Brokula     J 13769</v>
      </c>
      <c r="C16" s="138" t="str">
        <f t="shared" si="0"/>
        <v>kom</v>
      </c>
      <c r="D16" s="139"/>
      <c r="E16" s="140">
        <f t="shared" si="1"/>
        <v>3.07</v>
      </c>
      <c r="F16" s="147"/>
      <c r="G16" s="147"/>
      <c r="H16" s="147">
        <v>12</v>
      </c>
      <c r="I16" s="148">
        <v>4</v>
      </c>
      <c r="J16" s="147">
        <v>3</v>
      </c>
      <c r="K16" s="147">
        <v>4</v>
      </c>
      <c r="L16" s="150"/>
      <c r="M16" s="147"/>
      <c r="N16" s="147"/>
      <c r="O16" s="147"/>
      <c r="P16" s="147"/>
      <c r="Q16" s="147"/>
      <c r="R16" s="147"/>
      <c r="S16" s="147"/>
      <c r="T16" s="147"/>
      <c r="U16" s="147"/>
      <c r="V16" s="147"/>
      <c r="W16" s="147"/>
      <c r="X16" s="147"/>
    </row>
    <row r="17" spans="1:24" s="59" customFormat="1" ht="15">
      <c r="A17" s="137">
        <f>artikli!A15</f>
        <v>14</v>
      </c>
      <c r="B17" s="137" t="str">
        <f t="shared" si="2"/>
        <v>mikropovrće mix1          J 13770</v>
      </c>
      <c r="C17" s="138" t="str">
        <f t="shared" si="0"/>
        <v>kom</v>
      </c>
      <c r="D17" s="139"/>
      <c r="E17" s="140">
        <f t="shared" si="1"/>
        <v>3.07</v>
      </c>
      <c r="F17" s="147"/>
      <c r="G17" s="147"/>
      <c r="H17" s="147">
        <v>8</v>
      </c>
      <c r="I17" s="148">
        <v>2</v>
      </c>
      <c r="J17" s="147">
        <v>3</v>
      </c>
      <c r="K17" s="147">
        <v>6</v>
      </c>
      <c r="L17" s="147"/>
      <c r="M17" s="147"/>
      <c r="N17" s="147"/>
      <c r="O17" s="147"/>
      <c r="P17" s="147"/>
      <c r="Q17" s="147"/>
      <c r="R17" s="147"/>
      <c r="S17" s="147"/>
      <c r="T17" s="147"/>
      <c r="U17" s="147"/>
      <c r="V17" s="147"/>
      <c r="W17" s="147"/>
      <c r="X17" s="147"/>
    </row>
    <row r="18" spans="1:24" s="59" customFormat="1" ht="15">
      <c r="A18" s="137">
        <f>artikli!A16</f>
        <v>15</v>
      </c>
      <c r="B18" s="137" t="str">
        <f t="shared" si="2"/>
        <v>mikropovrće mix2          J 13771</v>
      </c>
      <c r="C18" s="138" t="str">
        <f t="shared" si="0"/>
        <v>kom</v>
      </c>
      <c r="D18" s="139"/>
      <c r="E18" s="140">
        <f t="shared" si="1"/>
        <v>3.07</v>
      </c>
      <c r="F18" s="147"/>
      <c r="G18" s="147"/>
      <c r="H18" s="147">
        <v>3</v>
      </c>
      <c r="I18" s="148">
        <v>2</v>
      </c>
      <c r="J18" s="147">
        <v>2</v>
      </c>
      <c r="K18" s="147">
        <v>6</v>
      </c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7"/>
      <c r="X18" s="147"/>
    </row>
    <row r="19" spans="1:24" s="59" customFormat="1" ht="15">
      <c r="A19" s="137">
        <f>artikli!A17</f>
        <v>16</v>
      </c>
      <c r="B19" s="137" t="str">
        <f t="shared" si="2"/>
        <v>mikropovrće Rukola       J 14032</v>
      </c>
      <c r="C19" s="138" t="str">
        <f t="shared" si="0"/>
        <v>kom</v>
      </c>
      <c r="D19" s="139"/>
      <c r="E19" s="140">
        <f t="shared" si="1"/>
        <v>3.07</v>
      </c>
      <c r="F19" s="147"/>
      <c r="G19" s="147"/>
      <c r="H19" s="147"/>
      <c r="I19" s="148"/>
      <c r="J19" s="147"/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7"/>
      <c r="W19" s="147"/>
      <c r="X19" s="147"/>
    </row>
    <row r="20" spans="1:24">
      <c r="A20" s="141">
        <f>artikli!A18</f>
        <v>17</v>
      </c>
      <c r="B20" s="141" t="str">
        <f t="shared" si="2"/>
        <v>klice mix1</v>
      </c>
      <c r="C20" s="142" t="str">
        <f t="shared" si="0"/>
        <v>kom</v>
      </c>
      <c r="D20" s="142"/>
      <c r="E20" s="143">
        <f t="shared" si="1"/>
        <v>3.47</v>
      </c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</row>
    <row r="21" spans="1:24">
      <c r="A21" s="141">
        <f>artikli!A19</f>
        <v>18</v>
      </c>
      <c r="B21" s="141" t="str">
        <f t="shared" si="2"/>
        <v>Svježe klice Alfalfa</v>
      </c>
      <c r="C21" s="142" t="str">
        <f t="shared" si="0"/>
        <v>kom</v>
      </c>
      <c r="D21" s="142"/>
      <c r="E21" s="143">
        <f t="shared" si="1"/>
        <v>3.47</v>
      </c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>
        <v>1</v>
      </c>
      <c r="T21" s="149"/>
      <c r="U21" s="149"/>
      <c r="V21" s="149"/>
      <c r="W21" s="149"/>
      <c r="X21" s="149"/>
    </row>
    <row r="22" spans="1:24">
      <c r="A22" s="141">
        <f>artikli!A20</f>
        <v>19</v>
      </c>
      <c r="B22" s="141" t="str">
        <f t="shared" si="2"/>
        <v>Svježe klice Piskavica</v>
      </c>
      <c r="C22" s="142" t="str">
        <f t="shared" si="0"/>
        <v>kom</v>
      </c>
      <c r="D22" s="142"/>
      <c r="E22" s="143">
        <f t="shared" si="1"/>
        <v>3.47</v>
      </c>
      <c r="F22" s="149"/>
      <c r="G22" s="149"/>
      <c r="H22" s="149"/>
      <c r="I22" s="149"/>
      <c r="J22" s="149"/>
      <c r="K22" s="149"/>
      <c r="L22" s="149"/>
      <c r="M22" s="149"/>
      <c r="N22" s="149"/>
      <c r="O22" s="149"/>
      <c r="P22" s="149"/>
      <c r="Q22" s="149"/>
      <c r="R22" s="149"/>
      <c r="S22" s="149">
        <v>1</v>
      </c>
      <c r="T22" s="149"/>
      <c r="U22" s="149"/>
      <c r="V22" s="149"/>
      <c r="W22" s="149"/>
      <c r="X22" s="149"/>
    </row>
    <row r="23" spans="1:24">
      <c r="A23" s="141">
        <f>artikli!A21</f>
        <v>20</v>
      </c>
      <c r="B23" s="141" t="str">
        <f t="shared" si="2"/>
        <v>Svježe klice mungo grah</v>
      </c>
      <c r="C23" s="142" t="str">
        <f t="shared" si="0"/>
        <v>kom</v>
      </c>
      <c r="D23" s="142"/>
      <c r="E23" s="143">
        <f t="shared" si="1"/>
        <v>3.47</v>
      </c>
      <c r="F23" s="149"/>
      <c r="G23" s="149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>
        <v>1</v>
      </c>
      <c r="T23" s="149"/>
      <c r="U23" s="149"/>
      <c r="V23" s="149"/>
      <c r="W23" s="149"/>
      <c r="X23" s="149"/>
    </row>
    <row r="24" spans="1:24">
      <c r="A24" s="141">
        <f>artikli!A22</f>
        <v>21</v>
      </c>
      <c r="B24" s="141" t="str">
        <f t="shared" si="2"/>
        <v>Svježe klice Leće</v>
      </c>
      <c r="C24" s="142" t="str">
        <f t="shared" si="0"/>
        <v>kom</v>
      </c>
      <c r="D24" s="142"/>
      <c r="E24" s="143">
        <f t="shared" si="1"/>
        <v>3.47</v>
      </c>
      <c r="F24" s="149"/>
      <c r="G24" s="149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49"/>
      <c r="S24" s="149">
        <v>1</v>
      </c>
      <c r="T24" s="149"/>
      <c r="U24" s="149"/>
      <c r="V24" s="149"/>
      <c r="W24" s="149"/>
      <c r="X24" s="149"/>
    </row>
    <row r="25" spans="1:24">
      <c r="A25" s="141">
        <f>artikli!A23</f>
        <v>22</v>
      </c>
      <c r="B25" s="141" t="str">
        <f t="shared" si="2"/>
        <v>Svježe klice China rose</v>
      </c>
      <c r="C25" s="142" t="str">
        <f t="shared" si="0"/>
        <v>kom</v>
      </c>
      <c r="D25" s="142"/>
      <c r="E25" s="143">
        <f t="shared" si="1"/>
        <v>3.47</v>
      </c>
      <c r="F25" s="149"/>
      <c r="G25" s="149"/>
      <c r="H25" s="149"/>
      <c r="I25" s="149"/>
      <c r="J25" s="149"/>
      <c r="K25" s="149"/>
      <c r="L25" s="149"/>
      <c r="M25" s="149"/>
      <c r="N25" s="149"/>
      <c r="O25" s="149"/>
      <c r="P25" s="149"/>
      <c r="Q25" s="149"/>
      <c r="R25" s="149"/>
      <c r="S25" s="149">
        <v>1</v>
      </c>
      <c r="T25" s="149"/>
      <c r="U25" s="149"/>
      <c r="V25" s="149"/>
      <c r="W25" s="149"/>
      <c r="X25" s="149"/>
    </row>
    <row r="26" spans="1:24">
      <c r="A26" s="141">
        <f>artikli!A24</f>
        <v>23</v>
      </c>
      <c r="B26" s="141" t="str">
        <f t="shared" si="2"/>
        <v>Svježe klice Daikon</v>
      </c>
      <c r="C26" s="142" t="str">
        <f t="shared" si="0"/>
        <v>kom</v>
      </c>
      <c r="D26" s="142"/>
      <c r="E26" s="143">
        <f t="shared" si="1"/>
        <v>3.47</v>
      </c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149">
        <v>2</v>
      </c>
      <c r="T26" s="149"/>
      <c r="U26" s="149"/>
      <c r="V26" s="149"/>
      <c r="W26" s="149"/>
      <c r="X26" s="149"/>
    </row>
    <row r="27" spans="1:24">
      <c r="A27" s="141">
        <f>artikli!A25</f>
        <v>24</v>
      </c>
      <c r="B27" s="141" t="str">
        <f t="shared" si="2"/>
        <v>klice mix2</v>
      </c>
      <c r="C27" s="142" t="str">
        <f t="shared" si="0"/>
        <v>kom</v>
      </c>
      <c r="D27" s="142"/>
      <c r="E27" s="143">
        <f t="shared" si="1"/>
        <v>3.47</v>
      </c>
      <c r="F27" s="149"/>
      <c r="G27" s="149"/>
      <c r="H27" s="149"/>
      <c r="I27" s="149"/>
      <c r="J27" s="149"/>
      <c r="K27" s="149"/>
      <c r="L27" s="149"/>
      <c r="M27" s="149"/>
      <c r="N27" s="149"/>
      <c r="O27" s="149"/>
      <c r="P27" s="149"/>
      <c r="Q27" s="149"/>
      <c r="R27" s="149"/>
      <c r="S27" s="149"/>
      <c r="T27" s="149"/>
      <c r="U27" s="149"/>
      <c r="V27" s="149"/>
      <c r="W27" s="149"/>
      <c r="X27" s="149"/>
    </row>
    <row r="28" spans="1:24">
      <c r="A28" s="141">
        <f>artikli!A26</f>
        <v>25</v>
      </c>
      <c r="B28" s="141" t="str">
        <f t="shared" si="2"/>
        <v>Mikropovrće Brokula</v>
      </c>
      <c r="C28" s="142" t="str">
        <f t="shared" si="0"/>
        <v>kom</v>
      </c>
      <c r="D28" s="142"/>
      <c r="E28" s="143">
        <f t="shared" si="1"/>
        <v>3.68</v>
      </c>
      <c r="F28" s="149"/>
      <c r="G28" s="149"/>
      <c r="H28" s="149"/>
      <c r="I28" s="149"/>
      <c r="J28" s="149"/>
      <c r="K28" s="149"/>
      <c r="L28" s="149"/>
      <c r="M28" s="149">
        <v>1</v>
      </c>
      <c r="N28" s="149"/>
      <c r="O28" s="149"/>
      <c r="P28" s="149">
        <v>2</v>
      </c>
      <c r="Q28" s="149"/>
      <c r="R28" s="149"/>
      <c r="S28" s="149"/>
      <c r="T28" s="149"/>
      <c r="U28" s="149"/>
      <c r="V28" s="149"/>
      <c r="W28" s="149"/>
      <c r="X28" s="149"/>
    </row>
    <row r="29" spans="1:24">
      <c r="A29" s="141">
        <f>artikli!A27</f>
        <v>26</v>
      </c>
      <c r="B29" s="141" t="str">
        <f t="shared" si="2"/>
        <v>Mikropovrće Rukola</v>
      </c>
      <c r="C29" s="142" t="str">
        <f t="shared" si="0"/>
        <v>kom</v>
      </c>
      <c r="D29" s="142"/>
      <c r="E29" s="143">
        <f t="shared" si="1"/>
        <v>3.68</v>
      </c>
      <c r="F29" s="149"/>
      <c r="G29" s="149"/>
      <c r="H29" s="149"/>
      <c r="I29" s="149"/>
      <c r="J29" s="149"/>
      <c r="K29" s="149"/>
      <c r="L29" s="149">
        <v>6</v>
      </c>
      <c r="M29" s="149">
        <v>1</v>
      </c>
      <c r="N29" s="149">
        <v>3</v>
      </c>
      <c r="O29" s="149">
        <v>3</v>
      </c>
      <c r="P29" s="149">
        <v>2</v>
      </c>
      <c r="Q29" s="149">
        <v>4</v>
      </c>
      <c r="R29" s="149">
        <v>20</v>
      </c>
      <c r="S29" s="149"/>
      <c r="T29" s="149"/>
      <c r="U29" s="149"/>
      <c r="V29" s="149"/>
      <c r="W29" s="149"/>
      <c r="X29" s="149"/>
    </row>
    <row r="30" spans="1:24">
      <c r="A30" s="141">
        <f>artikli!A28</f>
        <v>27</v>
      </c>
      <c r="B30" s="141" t="str">
        <f t="shared" si="2"/>
        <v>Mikropovrće china rose</v>
      </c>
      <c r="C30" s="142" t="str">
        <f t="shared" si="0"/>
        <v>kom</v>
      </c>
      <c r="D30" s="142"/>
      <c r="E30" s="143">
        <f t="shared" si="1"/>
        <v>3.68</v>
      </c>
      <c r="F30" s="149"/>
      <c r="G30" s="149"/>
      <c r="H30" s="149"/>
      <c r="I30" s="149"/>
      <c r="J30" s="149"/>
      <c r="K30" s="149"/>
      <c r="L30" s="149">
        <v>3</v>
      </c>
      <c r="M30" s="149">
        <v>1</v>
      </c>
      <c r="N30" s="149"/>
      <c r="O30" s="149">
        <v>3</v>
      </c>
      <c r="P30" s="149">
        <v>2</v>
      </c>
      <c r="Q30" s="149">
        <v>1</v>
      </c>
      <c r="R30" s="149"/>
      <c r="S30" s="149"/>
      <c r="T30" s="149"/>
      <c r="U30" s="149"/>
      <c r="V30" s="149"/>
      <c r="W30" s="149"/>
      <c r="X30" s="149"/>
    </row>
    <row r="31" spans="1:24">
      <c r="A31" s="141">
        <f>artikli!A29</f>
        <v>28</v>
      </c>
      <c r="B31" s="141" t="str">
        <f t="shared" si="2"/>
        <v>Mikropovrće vulcano</v>
      </c>
      <c r="C31" s="142" t="str">
        <f t="shared" si="0"/>
        <v>kom</v>
      </c>
      <c r="D31" s="142"/>
      <c r="E31" s="143">
        <f t="shared" si="1"/>
        <v>4.2</v>
      </c>
      <c r="F31" s="149"/>
      <c r="G31" s="149"/>
      <c r="H31" s="149"/>
      <c r="I31" s="149"/>
      <c r="J31" s="149"/>
      <c r="K31" s="149"/>
      <c r="L31" s="149">
        <v>2</v>
      </c>
      <c r="M31" s="149">
        <v>1</v>
      </c>
      <c r="N31" s="149"/>
      <c r="O31" s="149">
        <v>6</v>
      </c>
      <c r="P31" s="149">
        <v>3</v>
      </c>
      <c r="Q31" s="149"/>
      <c r="R31" s="149"/>
      <c r="S31" s="149"/>
      <c r="T31" s="149"/>
      <c r="U31" s="149"/>
      <c r="V31" s="149"/>
      <c r="W31" s="149"/>
      <c r="X31" s="149"/>
    </row>
    <row r="32" spans="1:24">
      <c r="A32" s="141">
        <f>artikli!A30</f>
        <v>30</v>
      </c>
      <c r="B32" s="141" t="str">
        <f t="shared" si="2"/>
        <v>Mikropovrće crveni kupus</v>
      </c>
      <c r="C32" s="142" t="str">
        <f t="shared" si="0"/>
        <v>kom</v>
      </c>
      <c r="D32" s="142"/>
      <c r="E32" s="143">
        <f t="shared" si="1"/>
        <v>3.68</v>
      </c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149"/>
      <c r="T32" s="149"/>
      <c r="U32" s="149"/>
      <c r="V32" s="149"/>
      <c r="W32" s="149"/>
      <c r="X32" s="149"/>
    </row>
    <row r="33" spans="1:24">
      <c r="A33" s="141">
        <f>artikli!A31</f>
        <v>31</v>
      </c>
      <c r="B33" s="141" t="str">
        <f t="shared" si="2"/>
        <v>Mikropovrće suncokret</v>
      </c>
      <c r="C33" s="142" t="str">
        <f t="shared" si="0"/>
        <v>kom</v>
      </c>
      <c r="D33" s="142"/>
      <c r="E33" s="143">
        <f t="shared" si="1"/>
        <v>3.68</v>
      </c>
      <c r="F33" s="149"/>
      <c r="G33" s="149"/>
      <c r="H33" s="149"/>
      <c r="I33" s="149"/>
      <c r="J33" s="149"/>
      <c r="K33" s="149"/>
      <c r="L33" s="149"/>
      <c r="M33" s="149">
        <v>2</v>
      </c>
      <c r="N33" s="149">
        <v>3</v>
      </c>
      <c r="O33" s="149">
        <v>3</v>
      </c>
      <c r="P33" s="149">
        <v>1</v>
      </c>
      <c r="Q33" s="149"/>
      <c r="R33" s="149"/>
      <c r="S33" s="149"/>
      <c r="T33" s="149"/>
      <c r="U33" s="149"/>
      <c r="V33" s="149"/>
      <c r="W33" s="149"/>
      <c r="X33" s="149"/>
    </row>
    <row r="34" spans="1:24">
      <c r="A34" s="141">
        <f>artikli!A32</f>
        <v>31</v>
      </c>
      <c r="B34" s="141" t="str">
        <f t="shared" si="2"/>
        <v>Mikropovrće suncokret</v>
      </c>
      <c r="C34" s="142" t="str">
        <f t="shared" si="0"/>
        <v>kom</v>
      </c>
      <c r="D34" s="142"/>
      <c r="E34" s="143">
        <f t="shared" si="1"/>
        <v>3.68</v>
      </c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49"/>
    </row>
    <row r="35" spans="1:24">
      <c r="A35" s="141">
        <f>artikli!A33</f>
        <v>32</v>
      </c>
      <c r="B35" s="141" t="str">
        <f t="shared" si="2"/>
        <v>Kikiriki puter 200 g</v>
      </c>
      <c r="C35" s="142" t="str">
        <f t="shared" si="0"/>
        <v>kom</v>
      </c>
      <c r="D35" s="142"/>
      <c r="E35" s="143">
        <f t="shared" si="1"/>
        <v>2.2999999999999998</v>
      </c>
      <c r="F35" s="149"/>
      <c r="G35" s="149"/>
      <c r="H35" s="149"/>
      <c r="I35" s="149"/>
      <c r="J35" s="149"/>
      <c r="K35" s="149"/>
      <c r="L35" s="149"/>
      <c r="M35" s="149"/>
      <c r="N35" s="149"/>
      <c r="O35" s="149"/>
      <c r="P35" s="149"/>
      <c r="Q35" s="149"/>
      <c r="R35" s="149"/>
      <c r="S35" s="149"/>
      <c r="T35" s="149"/>
      <c r="U35" s="149"/>
      <c r="V35" s="149"/>
      <c r="W35" s="149"/>
      <c r="X35" s="149"/>
    </row>
    <row r="36" spans="1:24">
      <c r="A36" s="141">
        <f>artikli!A34</f>
        <v>33</v>
      </c>
      <c r="B36" s="141" t="str">
        <f t="shared" si="2"/>
        <v>Kikiriki puter 300 g</v>
      </c>
      <c r="C36" s="142" t="str">
        <f t="shared" si="0"/>
        <v>kom</v>
      </c>
      <c r="D36" s="142"/>
      <c r="E36" s="143">
        <f t="shared" si="1"/>
        <v>2.9</v>
      </c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49"/>
      <c r="X36" s="149"/>
    </row>
    <row r="37" spans="1:24">
      <c r="A37" s="141">
        <f>artikli!A35</f>
        <v>34</v>
      </c>
      <c r="B37" s="141" t="str">
        <f t="shared" si="2"/>
        <v>Mikropovrće daikon</v>
      </c>
      <c r="C37" s="142" t="str">
        <f t="shared" si="0"/>
        <v>kom</v>
      </c>
      <c r="D37" s="142"/>
      <c r="E37" s="143">
        <f t="shared" si="1"/>
        <v>3.68</v>
      </c>
      <c r="F37" s="149"/>
      <c r="G37" s="149"/>
      <c r="H37" s="149"/>
      <c r="I37" s="149"/>
      <c r="J37" s="149"/>
      <c r="K37" s="149"/>
      <c r="L37" s="149">
        <v>3</v>
      </c>
      <c r="M37" s="149"/>
      <c r="N37" s="149"/>
      <c r="O37" s="149">
        <v>2</v>
      </c>
      <c r="P37" s="149">
        <v>2</v>
      </c>
      <c r="Q37" s="149">
        <v>1</v>
      </c>
      <c r="R37" s="149"/>
      <c r="S37" s="149"/>
      <c r="T37" s="149"/>
      <c r="U37" s="149"/>
      <c r="V37" s="149"/>
      <c r="W37" s="149"/>
      <c r="X37" s="149"/>
    </row>
    <row r="38" spans="1:24">
      <c r="A38" s="141">
        <f>artikli!A36</f>
        <v>35</v>
      </c>
      <c r="B38" s="141" t="str">
        <f t="shared" si="2"/>
        <v>Kikiriki puter 300 g</v>
      </c>
      <c r="C38" s="142" t="str">
        <f t="shared" si="0"/>
        <v>kom</v>
      </c>
      <c r="D38" s="142"/>
      <c r="E38" s="143">
        <f t="shared" si="1"/>
        <v>3.2</v>
      </c>
      <c r="F38" s="149"/>
      <c r="G38" s="149"/>
      <c r="H38" s="149"/>
      <c r="I38" s="149"/>
      <c r="J38" s="149">
        <v>6</v>
      </c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</row>
    <row r="39" spans="1:24">
      <c r="A39" s="141">
        <f>artikli!A37</f>
        <v>36</v>
      </c>
      <c r="B39" s="141" t="str">
        <f t="shared" si="2"/>
        <v>Mikropovrće keleraba</v>
      </c>
      <c r="C39" s="142" t="str">
        <f t="shared" si="0"/>
        <v>kom</v>
      </c>
      <c r="D39" s="142"/>
      <c r="E39" s="143">
        <f t="shared" si="1"/>
        <v>3.45</v>
      </c>
      <c r="F39" s="149"/>
      <c r="G39" s="149"/>
      <c r="H39" s="149"/>
      <c r="I39" s="149"/>
      <c r="J39" s="149"/>
      <c r="K39" s="149"/>
      <c r="L39" s="149">
        <v>2</v>
      </c>
      <c r="M39" s="149"/>
      <c r="N39" s="149"/>
      <c r="O39" s="149">
        <v>3</v>
      </c>
      <c r="P39" s="149">
        <v>2</v>
      </c>
      <c r="Q39" s="149">
        <v>4</v>
      </c>
      <c r="R39" s="149"/>
      <c r="S39" s="149"/>
      <c r="T39" s="149"/>
      <c r="U39" s="149"/>
      <c r="V39" s="149"/>
      <c r="W39" s="149"/>
      <c r="X39" s="149"/>
    </row>
    <row r="40" spans="1:24">
      <c r="A40" s="141">
        <f>artikli!A38</f>
        <v>37</v>
      </c>
      <c r="B40" s="141" t="str">
        <f t="shared" si="2"/>
        <v>Kikiriki puter 200 g</v>
      </c>
      <c r="C40" s="142" t="str">
        <f t="shared" si="0"/>
        <v>kom</v>
      </c>
      <c r="D40" s="142"/>
      <c r="E40" s="143">
        <f t="shared" si="1"/>
        <v>2.35</v>
      </c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  <c r="S40" s="149"/>
      <c r="T40" s="149"/>
      <c r="U40" s="149"/>
      <c r="V40" s="149"/>
      <c r="W40" s="149"/>
      <c r="X40" s="149"/>
    </row>
    <row r="41" spans="1:24">
      <c r="A41" s="141">
        <f>artikli!A39</f>
        <v>38</v>
      </c>
      <c r="B41" s="141" t="str">
        <f t="shared" si="2"/>
        <v>Kikiriki puter 300 g</v>
      </c>
      <c r="C41" s="142" t="str">
        <f t="shared" si="0"/>
        <v>kom</v>
      </c>
      <c r="D41" s="142"/>
      <c r="E41" s="143">
        <f t="shared" si="1"/>
        <v>3</v>
      </c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  <c r="S41" s="149"/>
      <c r="T41" s="149"/>
      <c r="U41" s="149"/>
      <c r="V41" s="149"/>
      <c r="W41" s="149"/>
      <c r="X41" s="149"/>
    </row>
    <row r="42" spans="1:24">
      <c r="A42" s="141">
        <f>artikli!A40</f>
        <v>39</v>
      </c>
      <c r="B42" s="141" t="str">
        <f t="shared" si="2"/>
        <v>Kikiriki puter 200 g</v>
      </c>
      <c r="C42" s="142" t="str">
        <f t="shared" si="0"/>
        <v>kom</v>
      </c>
      <c r="D42" s="142"/>
      <c r="E42" s="143">
        <f t="shared" si="1"/>
        <v>2.5</v>
      </c>
      <c r="F42" s="149"/>
      <c r="G42" s="149"/>
      <c r="H42" s="149"/>
      <c r="I42" s="149"/>
      <c r="J42" s="149">
        <v>8</v>
      </c>
      <c r="K42" s="149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149"/>
    </row>
    <row r="43" spans="1:24">
      <c r="A43" s="141">
        <f>artikli!A41</f>
        <v>40</v>
      </c>
      <c r="B43" s="141" t="str">
        <f t="shared" si="2"/>
        <v>Kikiriki puter 300 g</v>
      </c>
      <c r="C43" s="142" t="str">
        <f t="shared" si="0"/>
        <v>kom</v>
      </c>
      <c r="D43" s="142"/>
      <c r="E43" s="143">
        <f t="shared" si="1"/>
        <v>2.88</v>
      </c>
      <c r="F43" s="149"/>
      <c r="G43" s="149"/>
      <c r="H43" s="149"/>
      <c r="I43" s="149"/>
      <c r="J43" s="149" t="s">
        <v>260</v>
      </c>
      <c r="K43" s="149"/>
      <c r="L43" s="149"/>
      <c r="M43" s="149"/>
      <c r="N43" s="149"/>
      <c r="O43" s="149"/>
      <c r="P43" s="149"/>
      <c r="Q43" s="149"/>
      <c r="R43" s="149"/>
      <c r="S43" s="149"/>
      <c r="T43" s="149"/>
      <c r="U43" s="149"/>
      <c r="V43" s="149"/>
      <c r="W43" s="149"/>
      <c r="X43" s="149"/>
    </row>
    <row r="44" spans="1:24">
      <c r="A44" s="141">
        <f>artikli!A42</f>
        <v>41</v>
      </c>
      <c r="B44" s="141" t="str">
        <f t="shared" si="2"/>
        <v>Kikiriki puter 200 g</v>
      </c>
      <c r="C44" s="142" t="str">
        <f t="shared" si="0"/>
        <v>kom</v>
      </c>
      <c r="D44" s="142"/>
      <c r="E44" s="143">
        <f t="shared" si="1"/>
        <v>2.1</v>
      </c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49"/>
      <c r="W44" s="149"/>
      <c r="X44" s="149"/>
    </row>
    <row r="45" spans="1:24">
      <c r="A45" s="141">
        <f>artikli!A43</f>
        <v>42</v>
      </c>
      <c r="B45" s="141" t="str">
        <f t="shared" si="2"/>
        <v>Kikiriki puter 300 g</v>
      </c>
      <c r="C45" s="142" t="str">
        <f t="shared" si="0"/>
        <v>kom</v>
      </c>
      <c r="D45" s="142"/>
      <c r="E45" s="143">
        <f t="shared" si="1"/>
        <v>2.73</v>
      </c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49"/>
      <c r="X45" s="149"/>
    </row>
    <row r="46" spans="1:24">
      <c r="A46" s="141">
        <f>artikli!A44</f>
        <v>43</v>
      </c>
      <c r="B46" s="141" t="str">
        <f t="shared" si="2"/>
        <v>Kikiriki puter 200 g</v>
      </c>
      <c r="C46" s="142" t="str">
        <f t="shared" si="0"/>
        <v>kom</v>
      </c>
      <c r="D46" s="142"/>
      <c r="E46" s="143">
        <f t="shared" si="1"/>
        <v>2.2200000000000002</v>
      </c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49"/>
      <c r="S46" s="149"/>
      <c r="T46" s="149"/>
      <c r="U46" s="149"/>
      <c r="V46" s="149"/>
      <c r="W46" s="149"/>
      <c r="X46" s="149"/>
    </row>
    <row r="47" spans="1:24">
      <c r="A47" s="141">
        <f>artikli!A45</f>
        <v>44</v>
      </c>
      <c r="B47" s="141">
        <f t="shared" si="2"/>
        <v>0</v>
      </c>
      <c r="C47" s="142">
        <f t="shared" si="0"/>
        <v>0</v>
      </c>
      <c r="D47" s="142"/>
      <c r="E47" s="143">
        <f t="shared" si="1"/>
        <v>0</v>
      </c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/>
      <c r="T47" s="149"/>
      <c r="U47" s="149"/>
      <c r="V47" s="149"/>
      <c r="W47" s="149"/>
      <c r="X47" s="149"/>
    </row>
    <row r="48" spans="1:24">
      <c r="A48" s="141">
        <f>artikli!A46</f>
        <v>45</v>
      </c>
      <c r="B48" s="141">
        <f t="shared" si="2"/>
        <v>0</v>
      </c>
      <c r="C48" s="142">
        <f t="shared" si="0"/>
        <v>0</v>
      </c>
      <c r="D48" s="142"/>
      <c r="E48" s="143">
        <f t="shared" si="1"/>
        <v>0</v>
      </c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49"/>
      <c r="V48" s="149"/>
      <c r="W48" s="149"/>
      <c r="X48" s="149"/>
    </row>
    <row r="49" spans="1:24">
      <c r="A49" s="141">
        <f>artikli!A47</f>
        <v>46</v>
      </c>
      <c r="B49" s="141" t="str">
        <f t="shared" si="2"/>
        <v>mikro rukola</v>
      </c>
      <c r="C49" s="142" t="str">
        <f t="shared" si="0"/>
        <v>kom</v>
      </c>
      <c r="D49" s="142"/>
      <c r="E49" s="143">
        <f t="shared" si="1"/>
        <v>3.15</v>
      </c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  <c r="U49" s="149"/>
      <c r="V49" s="149"/>
      <c r="W49" s="149"/>
      <c r="X49" s="149"/>
    </row>
    <row r="50" spans="1:24">
      <c r="A50" s="141">
        <f>artikli!A48</f>
        <v>0</v>
      </c>
      <c r="B50" s="141" t="e">
        <f t="shared" si="2"/>
        <v>#N/A</v>
      </c>
      <c r="C50" s="142" t="e">
        <f t="shared" si="0"/>
        <v>#N/A</v>
      </c>
      <c r="D50" s="142"/>
      <c r="E50" s="143" t="e">
        <f t="shared" si="1"/>
        <v>#N/A</v>
      </c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149"/>
      <c r="T50" s="149"/>
      <c r="U50" s="149"/>
      <c r="V50" s="149"/>
      <c r="W50" s="149"/>
      <c r="X50" s="149"/>
    </row>
    <row r="51" spans="1:24">
      <c r="B51" t="str">
        <f t="shared" si="2"/>
        <v/>
      </c>
    </row>
  </sheetData>
  <mergeCells count="2">
    <mergeCell ref="A2:A3"/>
    <mergeCell ref="A1:E1"/>
  </mergeCells>
  <dataValidations count="1">
    <dataValidation type="list" allowBlank="1" showInputMessage="1" showErrorMessage="1" sqref="F2:AC2" xr:uid="{51B1BF83-8DD6-4ACD-AE05-4C222C124890}">
      <formula1>isporuka</formula1>
    </dataValidation>
  </dataValidations>
  <pageMargins left="0.7" right="0.7" top="0.75" bottom="0.75" header="0.3" footer="0.3"/>
  <pageSetup paperSize="9" orientation="landscape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0945-D23F-462E-BA73-93B77BFC10BC}">
  <sheetPr codeName="Sheet4"/>
  <dimension ref="A1:I918"/>
  <sheetViews>
    <sheetView zoomScale="81" zoomScaleNormal="81" workbookViewId="0">
      <pane ySplit="1" topLeftCell="A887" activePane="bottomLeft" state="frozen"/>
      <selection pane="bottomLeft" activeCell="B406" sqref="B406"/>
    </sheetView>
  </sheetViews>
  <sheetFormatPr defaultRowHeight="14.45"/>
  <cols>
    <col min="1" max="1" width="53.28515625" customWidth="1"/>
    <col min="2" max="2" width="45.5703125" customWidth="1"/>
    <col min="3" max="3" width="7.5703125" customWidth="1"/>
    <col min="4" max="4" width="9.85546875" customWidth="1"/>
    <col min="5" max="5" width="9" customWidth="1"/>
    <col min="6" max="6" width="9.140625" customWidth="1"/>
    <col min="7" max="7" width="10.7109375" style="1" customWidth="1"/>
    <col min="8" max="8" width="16.140625" style="154" customWidth="1"/>
  </cols>
  <sheetData>
    <row r="1" spans="1:8" s="125" customFormat="1" ht="31.15">
      <c r="A1" s="123" t="s">
        <v>204</v>
      </c>
      <c r="B1" s="123" t="s">
        <v>205</v>
      </c>
      <c r="C1" s="123" t="s">
        <v>206</v>
      </c>
      <c r="D1" s="123" t="s">
        <v>207</v>
      </c>
      <c r="E1" s="123" t="s">
        <v>208</v>
      </c>
      <c r="F1" s="123" t="s">
        <v>209</v>
      </c>
      <c r="G1" s="124" t="s">
        <v>210</v>
      </c>
      <c r="H1" s="152" t="s">
        <v>261</v>
      </c>
    </row>
    <row r="2" spans="1:8" ht="18">
      <c r="A2" s="103"/>
      <c r="B2" s="105" t="s">
        <v>262</v>
      </c>
      <c r="C2" s="103"/>
      <c r="D2" s="103"/>
      <c r="E2" s="103"/>
      <c r="F2" s="103"/>
      <c r="G2" s="104"/>
      <c r="H2" s="153"/>
    </row>
    <row r="3" spans="1:8">
      <c r="A3" t="s">
        <v>9</v>
      </c>
      <c r="B3" t="s">
        <v>8</v>
      </c>
      <c r="C3">
        <v>377</v>
      </c>
      <c r="D3">
        <v>21001</v>
      </c>
      <c r="E3">
        <v>336.7</v>
      </c>
      <c r="F3">
        <v>57.238999999999976</v>
      </c>
      <c r="G3">
        <v>393.94</v>
      </c>
      <c r="H3" s="154">
        <v>44202</v>
      </c>
    </row>
    <row r="4" spans="1:8">
      <c r="A4" t="s">
        <v>9</v>
      </c>
      <c r="B4" t="s">
        <v>15</v>
      </c>
      <c r="C4">
        <v>378</v>
      </c>
      <c r="D4">
        <v>21002</v>
      </c>
      <c r="E4">
        <v>46.4</v>
      </c>
      <c r="F4">
        <v>7.8879999999999981</v>
      </c>
      <c r="G4">
        <v>54.29</v>
      </c>
      <c r="H4" s="154">
        <v>44202</v>
      </c>
    </row>
    <row r="5" spans="1:8">
      <c r="A5" t="s">
        <v>17</v>
      </c>
      <c r="B5" t="s">
        <v>16</v>
      </c>
      <c r="C5">
        <v>379</v>
      </c>
      <c r="D5">
        <v>21003</v>
      </c>
      <c r="E5">
        <v>98.399999999999991</v>
      </c>
      <c r="F5">
        <v>16.727999999999994</v>
      </c>
      <c r="G5">
        <v>115.13</v>
      </c>
      <c r="H5" s="154">
        <v>44202</v>
      </c>
    </row>
    <row r="6" spans="1:8">
      <c r="A6" t="s">
        <v>17</v>
      </c>
      <c r="B6" t="s">
        <v>20</v>
      </c>
      <c r="C6">
        <v>380</v>
      </c>
      <c r="D6">
        <v>21004</v>
      </c>
      <c r="E6">
        <v>51.999999999999993</v>
      </c>
      <c r="F6">
        <v>8.8399999999999963</v>
      </c>
      <c r="G6">
        <v>60.84</v>
      </c>
      <c r="H6" s="154">
        <v>44202</v>
      </c>
    </row>
    <row r="7" spans="1:8">
      <c r="A7" t="s">
        <v>17</v>
      </c>
      <c r="B7" t="s">
        <v>21</v>
      </c>
      <c r="C7">
        <v>381</v>
      </c>
      <c r="D7">
        <v>21005</v>
      </c>
      <c r="E7">
        <v>42.400000000000006</v>
      </c>
      <c r="F7">
        <v>7.2079999999999984</v>
      </c>
      <c r="G7">
        <v>49.61</v>
      </c>
      <c r="H7" s="154">
        <v>44202</v>
      </c>
    </row>
    <row r="8" spans="1:8">
      <c r="A8" t="s">
        <v>56</v>
      </c>
      <c r="B8" t="s">
        <v>55</v>
      </c>
      <c r="C8">
        <v>382</v>
      </c>
      <c r="D8">
        <v>21006</v>
      </c>
      <c r="E8">
        <v>14.4</v>
      </c>
      <c r="F8">
        <v>2.4479999999999986</v>
      </c>
      <c r="G8">
        <v>16.850000000000001</v>
      </c>
      <c r="H8" s="154">
        <v>44202</v>
      </c>
    </row>
    <row r="9" spans="1:8">
      <c r="A9" t="s">
        <v>71</v>
      </c>
      <c r="B9" t="s">
        <v>70</v>
      </c>
      <c r="C9">
        <v>383</v>
      </c>
      <c r="D9">
        <v>21007</v>
      </c>
      <c r="E9">
        <v>14.5</v>
      </c>
      <c r="F9">
        <v>2.4649999999999999</v>
      </c>
      <c r="G9">
        <v>16.97</v>
      </c>
      <c r="H9" s="154">
        <v>44202</v>
      </c>
    </row>
    <row r="10" spans="1:8">
      <c r="A10" t="s">
        <v>76</v>
      </c>
      <c r="B10" t="s">
        <v>75</v>
      </c>
      <c r="C10">
        <v>384</v>
      </c>
      <c r="D10">
        <v>21008</v>
      </c>
      <c r="E10">
        <v>53.3</v>
      </c>
      <c r="F10">
        <v>9.0609999999999928</v>
      </c>
      <c r="G10">
        <v>62.36</v>
      </c>
      <c r="H10" s="154">
        <v>44202</v>
      </c>
    </row>
    <row r="11" spans="1:8">
      <c r="A11" t="s">
        <v>17</v>
      </c>
      <c r="B11" t="s">
        <v>79</v>
      </c>
      <c r="C11">
        <v>385</v>
      </c>
      <c r="D11">
        <v>21009</v>
      </c>
      <c r="E11">
        <v>117.1</v>
      </c>
      <c r="F11">
        <v>19.906999999999982</v>
      </c>
      <c r="G11">
        <v>137.01</v>
      </c>
      <c r="H11" s="154">
        <v>44202</v>
      </c>
    </row>
    <row r="12" spans="1:8">
      <c r="A12" t="s">
        <v>40</v>
      </c>
      <c r="B12" t="s">
        <v>39</v>
      </c>
      <c r="C12">
        <v>386</v>
      </c>
      <c r="D12">
        <v>21010</v>
      </c>
      <c r="E12">
        <v>18</v>
      </c>
      <c r="F12">
        <v>3.0599999999999987</v>
      </c>
      <c r="G12">
        <v>21.06</v>
      </c>
      <c r="H12" s="154">
        <v>44202</v>
      </c>
    </row>
    <row r="13" spans="1:8">
      <c r="A13" t="s">
        <v>9</v>
      </c>
      <c r="B13" t="s">
        <v>8</v>
      </c>
      <c r="C13">
        <v>387</v>
      </c>
      <c r="D13">
        <v>21011</v>
      </c>
      <c r="E13">
        <v>252.89999999999998</v>
      </c>
      <c r="F13">
        <v>42.992999999999995</v>
      </c>
      <c r="G13" s="1">
        <v>295.89</v>
      </c>
      <c r="H13" s="154">
        <v>44209</v>
      </c>
    </row>
    <row r="14" spans="1:8">
      <c r="A14" t="s">
        <v>9</v>
      </c>
      <c r="B14" t="s">
        <v>15</v>
      </c>
      <c r="C14">
        <v>388</v>
      </c>
      <c r="D14">
        <v>21012</v>
      </c>
      <c r="E14">
        <v>40.800000000000004</v>
      </c>
      <c r="F14">
        <v>6.9359999999999999</v>
      </c>
      <c r="G14" s="1">
        <v>47.74</v>
      </c>
      <c r="H14" s="154">
        <v>44209</v>
      </c>
    </row>
    <row r="15" spans="1:8">
      <c r="A15" t="s">
        <v>17</v>
      </c>
      <c r="B15" t="s">
        <v>16</v>
      </c>
      <c r="C15">
        <v>389</v>
      </c>
      <c r="D15">
        <v>21013</v>
      </c>
      <c r="E15">
        <v>98.100000000000009</v>
      </c>
      <c r="F15">
        <v>16.676999999999992</v>
      </c>
      <c r="G15">
        <v>114.78</v>
      </c>
      <c r="H15" s="154">
        <v>44209</v>
      </c>
    </row>
    <row r="16" spans="1:8">
      <c r="A16" t="s">
        <v>17</v>
      </c>
      <c r="B16" t="s">
        <v>20</v>
      </c>
      <c r="C16">
        <v>390</v>
      </c>
      <c r="D16">
        <v>21014</v>
      </c>
      <c r="E16">
        <v>49.900000000000006</v>
      </c>
      <c r="F16">
        <v>8.482999999999997</v>
      </c>
      <c r="G16">
        <v>58.38</v>
      </c>
      <c r="H16" s="154">
        <v>44209</v>
      </c>
    </row>
    <row r="17" spans="1:8">
      <c r="A17" t="s">
        <v>56</v>
      </c>
      <c r="B17" t="s">
        <v>55</v>
      </c>
      <c r="C17">
        <v>391</v>
      </c>
      <c r="D17">
        <v>21015</v>
      </c>
      <c r="E17">
        <v>34.799999999999997</v>
      </c>
      <c r="F17">
        <v>5.9159999999999968</v>
      </c>
      <c r="G17" s="106">
        <v>40.72</v>
      </c>
      <c r="H17" s="154">
        <v>44209</v>
      </c>
    </row>
    <row r="18" spans="1:8">
      <c r="A18" t="s">
        <v>71</v>
      </c>
      <c r="B18" t="s">
        <v>70</v>
      </c>
      <c r="C18">
        <v>392</v>
      </c>
      <c r="D18">
        <v>21016</v>
      </c>
      <c r="E18">
        <v>14.5</v>
      </c>
      <c r="F18">
        <v>2.4649999999999999</v>
      </c>
      <c r="G18">
        <v>16.97</v>
      </c>
      <c r="H18" s="154">
        <v>44209</v>
      </c>
    </row>
    <row r="19" spans="1:8">
      <c r="A19" t="s">
        <v>76</v>
      </c>
      <c r="B19" t="s">
        <v>75</v>
      </c>
      <c r="C19">
        <v>393</v>
      </c>
      <c r="D19">
        <v>21017</v>
      </c>
      <c r="E19">
        <v>53.3</v>
      </c>
      <c r="F19">
        <v>9.0609999999999928</v>
      </c>
      <c r="G19">
        <v>62.36</v>
      </c>
      <c r="H19" s="154">
        <v>44209</v>
      </c>
    </row>
    <row r="20" spans="1:8">
      <c r="A20" t="s">
        <v>17</v>
      </c>
      <c r="B20" t="s">
        <v>79</v>
      </c>
      <c r="C20">
        <v>394</v>
      </c>
      <c r="D20">
        <v>21018</v>
      </c>
      <c r="E20">
        <v>136.79999999999998</v>
      </c>
      <c r="F20">
        <v>23.256</v>
      </c>
      <c r="G20">
        <v>160.06</v>
      </c>
      <c r="H20" s="154">
        <v>44209</v>
      </c>
    </row>
    <row r="21" spans="1:8">
      <c r="A21" t="s">
        <v>40</v>
      </c>
      <c r="B21" t="s">
        <v>39</v>
      </c>
      <c r="C21">
        <v>395</v>
      </c>
      <c r="D21">
        <v>21019</v>
      </c>
      <c r="E21">
        <v>21</v>
      </c>
      <c r="F21">
        <v>3.5700000000000003</v>
      </c>
      <c r="G21">
        <v>24.57</v>
      </c>
      <c r="H21" s="154">
        <v>44209</v>
      </c>
    </row>
    <row r="22" spans="1:8">
      <c r="A22" t="s">
        <v>17</v>
      </c>
      <c r="B22" t="s">
        <v>263</v>
      </c>
      <c r="D22" s="107" t="s">
        <v>264</v>
      </c>
      <c r="E22" s="108">
        <v>-39.409999999999997</v>
      </c>
      <c r="F22" s="108">
        <v>-6.7</v>
      </c>
      <c r="G22" s="108">
        <v>-46.12</v>
      </c>
      <c r="H22" s="155" t="s">
        <v>265</v>
      </c>
    </row>
    <row r="23" spans="1:8">
      <c r="A23" t="s">
        <v>85</v>
      </c>
      <c r="B23" t="s">
        <v>84</v>
      </c>
      <c r="C23">
        <v>396</v>
      </c>
      <c r="D23">
        <v>21021</v>
      </c>
      <c r="E23">
        <v>44</v>
      </c>
      <c r="F23">
        <v>7.4799999999999969</v>
      </c>
      <c r="G23">
        <v>51.48</v>
      </c>
      <c r="H23" s="154">
        <v>44213</v>
      </c>
    </row>
    <row r="24" spans="1:8">
      <c r="A24" t="s">
        <v>9</v>
      </c>
      <c r="B24" t="s">
        <v>8</v>
      </c>
      <c r="C24">
        <v>397</v>
      </c>
      <c r="D24">
        <v>21022</v>
      </c>
      <c r="E24">
        <v>325.10000000000002</v>
      </c>
      <c r="F24">
        <v>55.266999999999996</v>
      </c>
      <c r="G24">
        <v>380.37</v>
      </c>
      <c r="H24" s="154">
        <v>44216</v>
      </c>
    </row>
    <row r="25" spans="1:8">
      <c r="A25" t="s">
        <v>9</v>
      </c>
      <c r="B25" t="s">
        <v>15</v>
      </c>
      <c r="C25">
        <v>398</v>
      </c>
      <c r="D25">
        <v>21023</v>
      </c>
      <c r="E25">
        <v>43.3</v>
      </c>
      <c r="F25">
        <v>7.3609999999999971</v>
      </c>
      <c r="G25">
        <v>50.66</v>
      </c>
      <c r="H25" s="154">
        <v>44216</v>
      </c>
    </row>
    <row r="26" spans="1:8">
      <c r="A26" t="s">
        <v>17</v>
      </c>
      <c r="B26" t="s">
        <v>16</v>
      </c>
      <c r="C26">
        <v>399</v>
      </c>
      <c r="D26">
        <v>21024</v>
      </c>
      <c r="E26">
        <v>106.19999999999999</v>
      </c>
      <c r="F26">
        <v>18.053999999999988</v>
      </c>
      <c r="G26">
        <v>124.25</v>
      </c>
      <c r="H26" s="154">
        <v>44216</v>
      </c>
    </row>
    <row r="27" spans="1:8">
      <c r="A27" t="s">
        <v>17</v>
      </c>
      <c r="B27" t="s">
        <v>20</v>
      </c>
      <c r="C27">
        <v>400</v>
      </c>
      <c r="D27">
        <v>21025</v>
      </c>
      <c r="E27">
        <v>61.7</v>
      </c>
      <c r="F27">
        <v>10.48899999999999</v>
      </c>
      <c r="G27">
        <v>72.19</v>
      </c>
      <c r="H27" s="154">
        <v>44216</v>
      </c>
    </row>
    <row r="28" spans="1:8">
      <c r="A28" t="s">
        <v>56</v>
      </c>
      <c r="B28" t="s">
        <v>55</v>
      </c>
      <c r="C28">
        <v>401</v>
      </c>
      <c r="D28">
        <v>21026</v>
      </c>
      <c r="E28">
        <v>14.399999999999999</v>
      </c>
      <c r="F28">
        <v>2.4480000000000004</v>
      </c>
      <c r="G28">
        <v>16.850000000000001</v>
      </c>
      <c r="H28" s="154">
        <v>44216</v>
      </c>
    </row>
    <row r="29" spans="1:8">
      <c r="A29" t="s">
        <v>71</v>
      </c>
      <c r="B29" t="s">
        <v>70</v>
      </c>
      <c r="C29">
        <v>402</v>
      </c>
      <c r="D29">
        <v>21027</v>
      </c>
      <c r="E29">
        <v>14.5</v>
      </c>
      <c r="F29">
        <v>2.4649999999999999</v>
      </c>
      <c r="G29">
        <v>16.97</v>
      </c>
      <c r="H29" s="154">
        <v>44216</v>
      </c>
    </row>
    <row r="30" spans="1:8">
      <c r="A30" t="s">
        <v>76</v>
      </c>
      <c r="B30" t="s">
        <v>75</v>
      </c>
      <c r="C30">
        <v>403</v>
      </c>
      <c r="D30">
        <v>21028</v>
      </c>
      <c r="E30">
        <v>53.3</v>
      </c>
      <c r="F30">
        <v>9.0609999999999928</v>
      </c>
      <c r="G30">
        <v>62.36</v>
      </c>
      <c r="H30" s="154">
        <v>44216</v>
      </c>
    </row>
    <row r="31" spans="1:8">
      <c r="A31" t="s">
        <v>17</v>
      </c>
      <c r="B31" t="s">
        <v>79</v>
      </c>
      <c r="C31">
        <v>404</v>
      </c>
      <c r="D31">
        <v>21029</v>
      </c>
      <c r="E31">
        <v>139.30000000000001</v>
      </c>
      <c r="F31">
        <v>23.680999999999983</v>
      </c>
      <c r="G31">
        <v>162.97999999999999</v>
      </c>
      <c r="H31" s="154">
        <v>44216</v>
      </c>
    </row>
    <row r="32" spans="1:8">
      <c r="A32" t="s">
        <v>40</v>
      </c>
      <c r="B32" t="s">
        <v>39</v>
      </c>
      <c r="C32">
        <v>405</v>
      </c>
      <c r="D32">
        <v>21030</v>
      </c>
      <c r="E32">
        <v>17.5</v>
      </c>
      <c r="F32">
        <v>2.9749999999999979</v>
      </c>
      <c r="G32">
        <v>20.48</v>
      </c>
      <c r="H32" s="154">
        <v>44216</v>
      </c>
    </row>
    <row r="33" spans="1:8">
      <c r="A33" t="s">
        <v>266</v>
      </c>
      <c r="B33" t="s">
        <v>267</v>
      </c>
      <c r="C33">
        <v>406</v>
      </c>
      <c r="D33">
        <v>21031</v>
      </c>
      <c r="E33">
        <v>17809.34</v>
      </c>
      <c r="F33">
        <v>3027.5877999999975</v>
      </c>
      <c r="G33">
        <v>20836.93</v>
      </c>
      <c r="H33" s="154">
        <v>44220</v>
      </c>
    </row>
    <row r="34" spans="1:8">
      <c r="A34" t="s">
        <v>9</v>
      </c>
      <c r="B34" t="s">
        <v>8</v>
      </c>
      <c r="C34">
        <v>407</v>
      </c>
      <c r="D34">
        <v>21032</v>
      </c>
      <c r="E34">
        <v>285.89999999999998</v>
      </c>
      <c r="F34">
        <v>48.602999999999952</v>
      </c>
      <c r="G34">
        <v>334.5</v>
      </c>
      <c r="H34" s="154">
        <v>44223</v>
      </c>
    </row>
    <row r="35" spans="1:8">
      <c r="A35" t="s">
        <v>9</v>
      </c>
      <c r="B35" t="s">
        <v>15</v>
      </c>
      <c r="C35">
        <v>408</v>
      </c>
      <c r="D35">
        <v>21033</v>
      </c>
      <c r="E35">
        <v>21.2</v>
      </c>
      <c r="F35">
        <v>3.6039999999999992</v>
      </c>
      <c r="G35" s="1">
        <v>24.8</v>
      </c>
      <c r="H35" s="154">
        <v>44223</v>
      </c>
    </row>
    <row r="36" spans="1:8">
      <c r="A36" t="s">
        <v>17</v>
      </c>
      <c r="B36" t="s">
        <v>16</v>
      </c>
      <c r="C36">
        <v>409</v>
      </c>
      <c r="D36">
        <v>21034</v>
      </c>
      <c r="E36">
        <v>110.6</v>
      </c>
      <c r="F36">
        <v>18.801999999999992</v>
      </c>
      <c r="G36">
        <v>129.4</v>
      </c>
      <c r="H36" s="154">
        <v>44223</v>
      </c>
    </row>
    <row r="37" spans="1:8">
      <c r="A37" t="s">
        <v>17</v>
      </c>
      <c r="B37" t="s">
        <v>20</v>
      </c>
      <c r="C37">
        <v>410</v>
      </c>
      <c r="D37">
        <v>21035</v>
      </c>
      <c r="E37">
        <v>60.099999999999994</v>
      </c>
      <c r="F37">
        <v>10.216999999999999</v>
      </c>
      <c r="G37">
        <v>70.319999999999993</v>
      </c>
      <c r="H37" s="154">
        <v>44223</v>
      </c>
    </row>
    <row r="38" spans="1:8">
      <c r="A38" t="s">
        <v>17</v>
      </c>
      <c r="B38" t="s">
        <v>21</v>
      </c>
      <c r="C38">
        <v>411</v>
      </c>
      <c r="D38">
        <v>21036</v>
      </c>
      <c r="E38">
        <v>39.299999999999997</v>
      </c>
      <c r="F38">
        <v>6.6809999999999974</v>
      </c>
      <c r="G38">
        <v>45.98</v>
      </c>
      <c r="H38" s="154">
        <v>44223</v>
      </c>
    </row>
    <row r="39" spans="1:8">
      <c r="A39" t="s">
        <v>56</v>
      </c>
      <c r="B39" t="s">
        <v>55</v>
      </c>
      <c r="C39">
        <v>412</v>
      </c>
      <c r="D39">
        <v>21037</v>
      </c>
      <c r="E39">
        <v>37.6</v>
      </c>
      <c r="F39">
        <v>6.3919999999999959</v>
      </c>
      <c r="G39">
        <v>43.99</v>
      </c>
      <c r="H39" s="154">
        <v>44223</v>
      </c>
    </row>
    <row r="40" spans="1:8">
      <c r="A40" t="s">
        <v>71</v>
      </c>
      <c r="B40" t="s">
        <v>70</v>
      </c>
      <c r="C40">
        <v>413</v>
      </c>
      <c r="D40">
        <v>21038</v>
      </c>
      <c r="E40">
        <v>14.5</v>
      </c>
      <c r="F40">
        <v>2.4649999999999999</v>
      </c>
      <c r="G40">
        <v>16.97</v>
      </c>
      <c r="H40" s="154">
        <v>44223</v>
      </c>
    </row>
    <row r="41" spans="1:8">
      <c r="A41" t="s">
        <v>76</v>
      </c>
      <c r="B41" t="s">
        <v>75</v>
      </c>
      <c r="C41">
        <v>414</v>
      </c>
      <c r="D41">
        <v>21039</v>
      </c>
      <c r="E41">
        <v>53.3</v>
      </c>
      <c r="F41">
        <v>9.0609999999999928</v>
      </c>
      <c r="G41">
        <v>62.36</v>
      </c>
      <c r="H41" s="154">
        <v>44223</v>
      </c>
    </row>
    <row r="42" spans="1:8">
      <c r="A42" t="s">
        <v>17</v>
      </c>
      <c r="B42" t="s">
        <v>79</v>
      </c>
      <c r="C42">
        <v>415</v>
      </c>
      <c r="D42">
        <v>21040</v>
      </c>
      <c r="E42">
        <v>125.89999999999999</v>
      </c>
      <c r="F42">
        <v>21.402999999999977</v>
      </c>
      <c r="G42" s="1">
        <v>147.30000000000001</v>
      </c>
      <c r="H42" s="154">
        <v>44223</v>
      </c>
    </row>
    <row r="43" spans="1:8">
      <c r="A43" t="s">
        <v>40</v>
      </c>
      <c r="B43" t="s">
        <v>39</v>
      </c>
      <c r="C43">
        <v>416</v>
      </c>
      <c r="D43">
        <v>21041</v>
      </c>
      <c r="E43">
        <v>17.5</v>
      </c>
      <c r="F43">
        <v>2.9749999999999979</v>
      </c>
      <c r="G43" s="1">
        <v>20.48</v>
      </c>
      <c r="H43" s="154">
        <v>44223</v>
      </c>
    </row>
    <row r="44" spans="1:8">
      <c r="A44" t="s">
        <v>85</v>
      </c>
      <c r="B44" t="s">
        <v>84</v>
      </c>
      <c r="C44">
        <v>417</v>
      </c>
      <c r="D44">
        <v>21042</v>
      </c>
      <c r="E44">
        <v>22</v>
      </c>
      <c r="F44">
        <v>3.7399999999999984</v>
      </c>
      <c r="G44" s="1">
        <v>25.74</v>
      </c>
      <c r="H44" s="154">
        <v>44223</v>
      </c>
    </row>
    <row r="45" spans="1:8">
      <c r="E45">
        <f>SUM(E3:E44)</f>
        <v>20872.429999999997</v>
      </c>
      <c r="F45">
        <f>SUM(F3:F44)</f>
        <v>3548.312799999997</v>
      </c>
    </row>
    <row r="46" spans="1:8" ht="18">
      <c r="B46" s="109" t="s">
        <v>268</v>
      </c>
    </row>
    <row r="48" spans="1:8">
      <c r="A48" t="s">
        <v>9</v>
      </c>
      <c r="B48" t="s">
        <v>8</v>
      </c>
      <c r="C48">
        <v>418</v>
      </c>
      <c r="D48">
        <v>21043</v>
      </c>
      <c r="E48">
        <v>330.2</v>
      </c>
      <c r="F48">
        <v>56.133999999999958</v>
      </c>
      <c r="G48" s="1">
        <v>386.33</v>
      </c>
      <c r="H48" s="154">
        <v>44230</v>
      </c>
    </row>
    <row r="49" spans="1:8">
      <c r="A49" t="s">
        <v>9</v>
      </c>
      <c r="B49" t="s">
        <v>15</v>
      </c>
      <c r="C49">
        <v>419</v>
      </c>
      <c r="D49">
        <v>21044</v>
      </c>
      <c r="E49">
        <v>12.5</v>
      </c>
      <c r="F49">
        <v>2.125</v>
      </c>
      <c r="G49" s="1">
        <v>14.63</v>
      </c>
      <c r="H49" s="154">
        <v>44230</v>
      </c>
    </row>
    <row r="50" spans="1:8">
      <c r="A50" t="s">
        <v>17</v>
      </c>
      <c r="B50" t="s">
        <v>16</v>
      </c>
      <c r="C50">
        <v>420</v>
      </c>
      <c r="D50">
        <v>21045</v>
      </c>
      <c r="E50">
        <v>123.4</v>
      </c>
      <c r="F50">
        <v>20.97799999999998</v>
      </c>
      <c r="G50" s="1">
        <v>144.38</v>
      </c>
      <c r="H50" s="154">
        <v>44230</v>
      </c>
    </row>
    <row r="51" spans="1:8">
      <c r="A51" t="s">
        <v>17</v>
      </c>
      <c r="B51" t="s">
        <v>20</v>
      </c>
      <c r="C51">
        <v>421</v>
      </c>
      <c r="D51">
        <v>21046</v>
      </c>
      <c r="E51">
        <v>61.699999999999996</v>
      </c>
      <c r="F51">
        <v>10.488999999999997</v>
      </c>
      <c r="G51" s="1">
        <v>72.19</v>
      </c>
      <c r="H51" s="154">
        <v>44230</v>
      </c>
    </row>
    <row r="52" spans="1:8">
      <c r="A52" t="s">
        <v>17</v>
      </c>
      <c r="B52" t="s">
        <v>21</v>
      </c>
      <c r="C52">
        <v>422</v>
      </c>
      <c r="D52">
        <v>21047</v>
      </c>
      <c r="E52">
        <v>18.100000000000001</v>
      </c>
      <c r="F52">
        <v>3.0769999999999982</v>
      </c>
      <c r="G52" s="1">
        <v>21.18</v>
      </c>
      <c r="H52" s="154">
        <v>44230</v>
      </c>
    </row>
    <row r="53" spans="1:8">
      <c r="A53" t="s">
        <v>56</v>
      </c>
      <c r="B53" t="s">
        <v>55</v>
      </c>
      <c r="C53">
        <v>423</v>
      </c>
      <c r="D53">
        <v>21048</v>
      </c>
      <c r="E53">
        <v>60.8</v>
      </c>
      <c r="F53">
        <v>10.335999999999999</v>
      </c>
      <c r="G53" s="1">
        <v>71.14</v>
      </c>
      <c r="H53" s="154">
        <v>44230</v>
      </c>
    </row>
    <row r="54" spans="1:8">
      <c r="A54" t="s">
        <v>71</v>
      </c>
      <c r="B54" t="s">
        <v>70</v>
      </c>
      <c r="C54">
        <v>424</v>
      </c>
      <c r="D54">
        <v>21049</v>
      </c>
      <c r="E54">
        <v>14.5</v>
      </c>
      <c r="F54">
        <v>2.4649999999999999</v>
      </c>
      <c r="G54">
        <v>16.97</v>
      </c>
      <c r="H54" s="154">
        <v>44230</v>
      </c>
    </row>
    <row r="55" spans="1:8">
      <c r="A55" t="s">
        <v>76</v>
      </c>
      <c r="B55" t="s">
        <v>75</v>
      </c>
      <c r="C55">
        <v>425</v>
      </c>
      <c r="D55">
        <v>21050</v>
      </c>
      <c r="E55">
        <v>53.3</v>
      </c>
      <c r="F55">
        <v>9.0609999999999928</v>
      </c>
      <c r="G55">
        <v>62.36</v>
      </c>
      <c r="H55" s="154">
        <v>44230</v>
      </c>
    </row>
    <row r="56" spans="1:8">
      <c r="A56" t="s">
        <v>17</v>
      </c>
      <c r="B56" t="s">
        <v>79</v>
      </c>
      <c r="C56">
        <v>426</v>
      </c>
      <c r="D56">
        <v>21051</v>
      </c>
      <c r="E56">
        <v>147.09999999999997</v>
      </c>
      <c r="F56">
        <v>25.006999999999977</v>
      </c>
      <c r="G56">
        <v>172.11</v>
      </c>
      <c r="H56" s="154">
        <v>44230</v>
      </c>
    </row>
    <row r="57" spans="1:8">
      <c r="A57" t="s">
        <v>40</v>
      </c>
      <c r="B57" t="s">
        <v>39</v>
      </c>
      <c r="C57">
        <v>427</v>
      </c>
      <c r="D57">
        <v>21052</v>
      </c>
      <c r="E57">
        <v>17.5</v>
      </c>
      <c r="F57">
        <v>2.9749999999999979</v>
      </c>
      <c r="G57">
        <v>20.48</v>
      </c>
      <c r="H57" s="154">
        <v>44230</v>
      </c>
    </row>
    <row r="58" spans="1:8">
      <c r="A58" t="s">
        <v>85</v>
      </c>
      <c r="B58" t="s">
        <v>84</v>
      </c>
      <c r="C58">
        <v>428</v>
      </c>
      <c r="D58">
        <v>21053</v>
      </c>
      <c r="E58">
        <v>22</v>
      </c>
      <c r="F58">
        <v>3.7399999999999984</v>
      </c>
      <c r="G58">
        <v>25.74</v>
      </c>
      <c r="H58" s="154">
        <v>44230</v>
      </c>
    </row>
    <row r="59" spans="1:8">
      <c r="A59" t="s">
        <v>9</v>
      </c>
      <c r="B59" t="s">
        <v>8</v>
      </c>
      <c r="C59">
        <v>429</v>
      </c>
      <c r="D59">
        <v>21054</v>
      </c>
      <c r="E59">
        <v>303.99999999999994</v>
      </c>
      <c r="F59">
        <v>51.68</v>
      </c>
      <c r="G59">
        <v>355.68</v>
      </c>
      <c r="H59" s="154">
        <v>44237</v>
      </c>
    </row>
    <row r="60" spans="1:8">
      <c r="A60" t="s">
        <v>9</v>
      </c>
      <c r="B60" t="s">
        <v>15</v>
      </c>
      <c r="C60">
        <v>430</v>
      </c>
      <c r="D60">
        <v>21055</v>
      </c>
      <c r="E60">
        <v>45.2</v>
      </c>
      <c r="F60">
        <v>7.68</v>
      </c>
      <c r="G60">
        <v>52.88</v>
      </c>
      <c r="H60" s="154">
        <v>44237</v>
      </c>
    </row>
    <row r="61" spans="1:8">
      <c r="A61" t="s">
        <v>17</v>
      </c>
      <c r="B61" t="s">
        <v>16</v>
      </c>
      <c r="C61">
        <v>431</v>
      </c>
      <c r="D61">
        <v>21056</v>
      </c>
      <c r="E61">
        <v>94.1</v>
      </c>
      <c r="F61">
        <v>16</v>
      </c>
      <c r="G61" s="106">
        <v>110.1</v>
      </c>
      <c r="H61" s="154">
        <v>44237</v>
      </c>
    </row>
    <row r="62" spans="1:8">
      <c r="A62" t="s">
        <v>17</v>
      </c>
      <c r="B62" t="s">
        <v>20</v>
      </c>
      <c r="C62">
        <v>432</v>
      </c>
      <c r="D62">
        <v>21057</v>
      </c>
      <c r="E62">
        <v>37.400000000000006</v>
      </c>
      <c r="F62">
        <v>6.36</v>
      </c>
      <c r="G62">
        <v>43.76</v>
      </c>
      <c r="H62" s="154">
        <v>44237</v>
      </c>
    </row>
    <row r="63" spans="1:8">
      <c r="A63" t="s">
        <v>17</v>
      </c>
      <c r="B63" t="s">
        <v>21</v>
      </c>
      <c r="C63">
        <v>433</v>
      </c>
      <c r="D63">
        <v>21058</v>
      </c>
      <c r="E63">
        <v>37.099999999999994</v>
      </c>
      <c r="F63">
        <v>6.31</v>
      </c>
      <c r="G63">
        <v>43.41</v>
      </c>
      <c r="H63" s="154">
        <v>44237</v>
      </c>
    </row>
    <row r="64" spans="1:8">
      <c r="A64" t="s">
        <v>56</v>
      </c>
      <c r="B64" t="s">
        <v>55</v>
      </c>
      <c r="C64">
        <v>434</v>
      </c>
      <c r="D64">
        <v>21059</v>
      </c>
      <c r="E64">
        <v>54.8</v>
      </c>
      <c r="F64">
        <v>9.32</v>
      </c>
      <c r="G64">
        <v>64.12</v>
      </c>
      <c r="H64" s="154">
        <v>44237</v>
      </c>
    </row>
    <row r="65" spans="1:8">
      <c r="A65" t="s">
        <v>71</v>
      </c>
      <c r="B65" t="s">
        <v>70</v>
      </c>
      <c r="C65">
        <v>435</v>
      </c>
      <c r="D65">
        <v>21060</v>
      </c>
      <c r="E65">
        <v>14.5</v>
      </c>
      <c r="F65">
        <v>2.4700000000000002</v>
      </c>
      <c r="G65">
        <v>16.97</v>
      </c>
      <c r="H65" s="154">
        <v>44237</v>
      </c>
    </row>
    <row r="66" spans="1:8">
      <c r="A66" t="s">
        <v>76</v>
      </c>
      <c r="B66" t="s">
        <v>75</v>
      </c>
      <c r="C66">
        <v>436</v>
      </c>
      <c r="D66">
        <v>21061</v>
      </c>
      <c r="E66">
        <v>53.3</v>
      </c>
      <c r="F66">
        <v>9.06</v>
      </c>
      <c r="G66">
        <v>62.36</v>
      </c>
      <c r="H66" s="154">
        <v>44237</v>
      </c>
    </row>
    <row r="67" spans="1:8">
      <c r="A67" t="s">
        <v>17</v>
      </c>
      <c r="B67" t="s">
        <v>79</v>
      </c>
      <c r="C67">
        <v>437</v>
      </c>
      <c r="D67">
        <v>21062</v>
      </c>
      <c r="E67">
        <v>186.29999999999998</v>
      </c>
      <c r="F67">
        <v>31.67</v>
      </c>
      <c r="G67">
        <v>217.97</v>
      </c>
      <c r="H67" s="154">
        <v>44237</v>
      </c>
    </row>
    <row r="68" spans="1:8">
      <c r="A68" t="s">
        <v>40</v>
      </c>
      <c r="B68" t="s">
        <v>39</v>
      </c>
      <c r="C68">
        <v>438</v>
      </c>
      <c r="D68">
        <v>21063</v>
      </c>
      <c r="E68">
        <v>28</v>
      </c>
      <c r="F68">
        <v>4.76</v>
      </c>
      <c r="G68">
        <v>32.76</v>
      </c>
      <c r="H68" s="154">
        <v>44237</v>
      </c>
    </row>
    <row r="69" spans="1:8">
      <c r="A69" t="s">
        <v>9</v>
      </c>
      <c r="B69" t="s">
        <v>8</v>
      </c>
      <c r="C69">
        <v>439</v>
      </c>
      <c r="D69">
        <v>21064</v>
      </c>
      <c r="E69">
        <v>305.89999999999998</v>
      </c>
      <c r="F69">
        <v>52</v>
      </c>
      <c r="G69">
        <v>357.9</v>
      </c>
      <c r="H69" s="154">
        <v>44243</v>
      </c>
    </row>
    <row r="70" spans="1:8">
      <c r="A70" t="s">
        <v>9</v>
      </c>
      <c r="B70" t="s">
        <v>15</v>
      </c>
      <c r="C70">
        <v>440</v>
      </c>
      <c r="D70">
        <v>21065</v>
      </c>
      <c r="E70">
        <v>47.7</v>
      </c>
      <c r="F70">
        <v>8.11</v>
      </c>
      <c r="G70">
        <v>55.81</v>
      </c>
      <c r="H70" s="154">
        <v>44243</v>
      </c>
    </row>
    <row r="71" spans="1:8">
      <c r="A71" t="s">
        <v>17</v>
      </c>
      <c r="B71" t="s">
        <v>16</v>
      </c>
      <c r="C71">
        <v>441</v>
      </c>
      <c r="D71">
        <v>21066</v>
      </c>
      <c r="E71">
        <v>134.6</v>
      </c>
      <c r="F71">
        <v>22.88</v>
      </c>
      <c r="G71">
        <v>157.47999999999999</v>
      </c>
      <c r="H71" s="154">
        <v>44243</v>
      </c>
    </row>
    <row r="72" spans="1:8">
      <c r="A72" t="s">
        <v>17</v>
      </c>
      <c r="B72" t="s">
        <v>20</v>
      </c>
      <c r="C72">
        <v>442</v>
      </c>
      <c r="D72">
        <v>21067</v>
      </c>
      <c r="E72">
        <v>32.1</v>
      </c>
      <c r="F72">
        <v>5.46</v>
      </c>
      <c r="G72">
        <v>37.56</v>
      </c>
      <c r="H72" s="154">
        <v>44243</v>
      </c>
    </row>
    <row r="73" spans="1:8">
      <c r="A73" t="s">
        <v>17</v>
      </c>
      <c r="B73" t="s">
        <v>21</v>
      </c>
      <c r="C73">
        <v>443</v>
      </c>
      <c r="D73">
        <v>21068</v>
      </c>
      <c r="E73">
        <v>34.9</v>
      </c>
      <c r="F73">
        <v>5.93</v>
      </c>
      <c r="G73">
        <v>40.83</v>
      </c>
      <c r="H73" s="154">
        <v>44243</v>
      </c>
    </row>
    <row r="74" spans="1:8">
      <c r="A74" t="s">
        <v>56</v>
      </c>
      <c r="B74" s="3" t="s">
        <v>55</v>
      </c>
      <c r="C74">
        <v>444</v>
      </c>
      <c r="D74">
        <v>21069</v>
      </c>
      <c r="E74" s="106">
        <v>51.6</v>
      </c>
      <c r="F74" s="106">
        <v>8.77</v>
      </c>
      <c r="G74" s="106">
        <v>60.37</v>
      </c>
      <c r="H74" s="154">
        <v>44243</v>
      </c>
    </row>
    <row r="75" spans="1:8">
      <c r="A75" t="s">
        <v>71</v>
      </c>
      <c r="B75" s="3" t="s">
        <v>70</v>
      </c>
      <c r="C75">
        <v>445</v>
      </c>
      <c r="D75">
        <v>21070</v>
      </c>
      <c r="E75" s="106">
        <v>14.5</v>
      </c>
      <c r="F75" s="106">
        <v>2.4700000000000002</v>
      </c>
      <c r="G75" s="106">
        <v>16.97</v>
      </c>
      <c r="H75" s="154">
        <v>44243</v>
      </c>
    </row>
    <row r="76" spans="1:8">
      <c r="A76" t="s">
        <v>76</v>
      </c>
      <c r="B76" s="3" t="s">
        <v>75</v>
      </c>
      <c r="C76">
        <v>446</v>
      </c>
      <c r="D76">
        <v>21071</v>
      </c>
      <c r="E76">
        <v>53.3</v>
      </c>
      <c r="F76">
        <v>9.06</v>
      </c>
      <c r="G76">
        <v>62.36</v>
      </c>
      <c r="H76" s="154">
        <v>44243</v>
      </c>
    </row>
    <row r="77" spans="1:8">
      <c r="A77" t="s">
        <v>17</v>
      </c>
      <c r="B77" s="3" t="s">
        <v>79</v>
      </c>
      <c r="C77">
        <v>447</v>
      </c>
      <c r="D77">
        <v>21072</v>
      </c>
      <c r="E77">
        <v>184.10000000000002</v>
      </c>
      <c r="F77">
        <v>31.3</v>
      </c>
      <c r="G77">
        <v>215.4</v>
      </c>
      <c r="H77" s="154">
        <v>44243</v>
      </c>
    </row>
    <row r="78" spans="1:8">
      <c r="A78" s="110" t="s">
        <v>40</v>
      </c>
      <c r="B78" s="110" t="s">
        <v>39</v>
      </c>
      <c r="C78" s="111">
        <v>448</v>
      </c>
      <c r="D78" s="111">
        <v>21073</v>
      </c>
      <c r="E78" s="111">
        <v>28</v>
      </c>
      <c r="F78" s="111">
        <v>4.76</v>
      </c>
      <c r="G78" s="111">
        <v>32.76</v>
      </c>
      <c r="H78" s="156">
        <v>44243</v>
      </c>
    </row>
    <row r="79" spans="1:8">
      <c r="A79" t="s">
        <v>85</v>
      </c>
      <c r="B79" t="s">
        <v>84</v>
      </c>
      <c r="C79">
        <v>449</v>
      </c>
      <c r="D79">
        <v>21074</v>
      </c>
      <c r="E79">
        <v>33</v>
      </c>
      <c r="F79">
        <v>5.61</v>
      </c>
      <c r="G79">
        <v>38.61</v>
      </c>
      <c r="H79" s="154">
        <v>44243</v>
      </c>
    </row>
    <row r="80" spans="1:8">
      <c r="A80" t="s">
        <v>9</v>
      </c>
      <c r="B80" t="s">
        <v>8</v>
      </c>
      <c r="C80">
        <v>450</v>
      </c>
      <c r="D80">
        <v>21075</v>
      </c>
      <c r="E80">
        <v>331.5</v>
      </c>
      <c r="F80">
        <v>56.36</v>
      </c>
      <c r="G80">
        <v>387.86</v>
      </c>
      <c r="H80" s="154">
        <v>44251</v>
      </c>
    </row>
    <row r="81" spans="1:8">
      <c r="A81" t="s">
        <v>9</v>
      </c>
      <c r="B81" t="s">
        <v>15</v>
      </c>
      <c r="C81">
        <v>451</v>
      </c>
      <c r="D81">
        <v>21076</v>
      </c>
      <c r="E81">
        <v>47.7</v>
      </c>
      <c r="F81">
        <v>8.11</v>
      </c>
      <c r="G81">
        <v>55.81</v>
      </c>
      <c r="H81" s="154">
        <v>44251</v>
      </c>
    </row>
    <row r="82" spans="1:8">
      <c r="A82" t="s">
        <v>17</v>
      </c>
      <c r="B82" t="s">
        <v>16</v>
      </c>
      <c r="C82">
        <v>452</v>
      </c>
      <c r="D82">
        <v>21077</v>
      </c>
      <c r="E82">
        <v>140.19999999999999</v>
      </c>
      <c r="F82">
        <v>23.83</v>
      </c>
      <c r="G82">
        <v>164.03</v>
      </c>
      <c r="H82" s="154">
        <v>44251</v>
      </c>
    </row>
    <row r="83" spans="1:8">
      <c r="A83" t="s">
        <v>17</v>
      </c>
      <c r="B83" t="s">
        <v>20</v>
      </c>
      <c r="C83">
        <v>453</v>
      </c>
      <c r="D83">
        <v>21078</v>
      </c>
      <c r="E83">
        <v>55.5</v>
      </c>
      <c r="F83">
        <v>9.44</v>
      </c>
      <c r="G83">
        <v>64.94</v>
      </c>
      <c r="H83" s="154">
        <v>44251</v>
      </c>
    </row>
    <row r="84" spans="1:8">
      <c r="A84" t="s">
        <v>17</v>
      </c>
      <c r="B84" t="s">
        <v>21</v>
      </c>
      <c r="C84">
        <v>454</v>
      </c>
      <c r="D84">
        <v>21079</v>
      </c>
      <c r="E84">
        <v>44.9</v>
      </c>
      <c r="F84">
        <v>7.63</v>
      </c>
      <c r="G84">
        <v>52.53</v>
      </c>
      <c r="H84" s="154">
        <v>44251</v>
      </c>
    </row>
    <row r="85" spans="1:8">
      <c r="A85" t="s">
        <v>56</v>
      </c>
      <c r="B85" t="s">
        <v>55</v>
      </c>
      <c r="C85">
        <v>455</v>
      </c>
      <c r="D85">
        <v>21080</v>
      </c>
      <c r="E85">
        <v>66.400000000000006</v>
      </c>
      <c r="F85">
        <v>11.29</v>
      </c>
      <c r="G85">
        <v>77.69</v>
      </c>
      <c r="H85" s="154">
        <v>44251</v>
      </c>
    </row>
    <row r="86" spans="1:8">
      <c r="A86" t="s">
        <v>71</v>
      </c>
      <c r="B86" t="s">
        <v>70</v>
      </c>
      <c r="C86">
        <v>456</v>
      </c>
      <c r="D86">
        <v>21081</v>
      </c>
      <c r="E86">
        <v>14.5</v>
      </c>
      <c r="F86">
        <v>2.4700000000000002</v>
      </c>
      <c r="G86">
        <v>16.97</v>
      </c>
      <c r="H86" s="154">
        <v>44251</v>
      </c>
    </row>
    <row r="87" spans="1:8">
      <c r="A87" t="s">
        <v>76</v>
      </c>
      <c r="B87" t="s">
        <v>75</v>
      </c>
      <c r="C87">
        <v>457</v>
      </c>
      <c r="D87">
        <v>21082</v>
      </c>
      <c r="E87">
        <v>53.3</v>
      </c>
      <c r="F87">
        <v>9.06</v>
      </c>
      <c r="G87">
        <v>62.36</v>
      </c>
      <c r="H87" s="154">
        <v>44251</v>
      </c>
    </row>
    <row r="88" spans="1:8">
      <c r="A88" t="s">
        <v>17</v>
      </c>
      <c r="B88" t="s">
        <v>79</v>
      </c>
      <c r="C88">
        <v>458</v>
      </c>
      <c r="D88">
        <v>21083</v>
      </c>
      <c r="E88">
        <v>172.59999999999997</v>
      </c>
      <c r="F88">
        <v>29.34</v>
      </c>
      <c r="G88">
        <v>201.94</v>
      </c>
      <c r="H88" s="154">
        <v>44251</v>
      </c>
    </row>
    <row r="89" spans="1:8">
      <c r="A89" t="s">
        <v>40</v>
      </c>
      <c r="B89" t="s">
        <v>39</v>
      </c>
      <c r="C89">
        <v>459</v>
      </c>
      <c r="D89">
        <v>21084</v>
      </c>
      <c r="E89">
        <v>17.5</v>
      </c>
      <c r="F89">
        <v>2.98</v>
      </c>
      <c r="G89">
        <v>20.48</v>
      </c>
      <c r="H89" s="154">
        <v>44251</v>
      </c>
    </row>
    <row r="90" spans="1:8">
      <c r="E90">
        <f>SUM(E48:E89)</f>
        <v>3579.5999999999995</v>
      </c>
      <c r="F90">
        <f>SUM(F48:F89)</f>
        <v>608.55700000000002</v>
      </c>
      <c r="G90"/>
    </row>
    <row r="91" spans="1:8" ht="18">
      <c r="B91" s="112" t="s">
        <v>269</v>
      </c>
      <c r="G91"/>
    </row>
    <row r="92" spans="1:8">
      <c r="A92" t="s">
        <v>9</v>
      </c>
      <c r="B92" t="s">
        <v>8</v>
      </c>
      <c r="C92">
        <v>460</v>
      </c>
      <c r="D92">
        <v>21085</v>
      </c>
      <c r="E92">
        <v>208.1</v>
      </c>
      <c r="F92">
        <v>35.380000000000003</v>
      </c>
      <c r="G92">
        <v>243.48</v>
      </c>
      <c r="H92" s="154">
        <v>44258</v>
      </c>
    </row>
    <row r="93" spans="1:8">
      <c r="A93" t="s">
        <v>9</v>
      </c>
      <c r="B93" t="s">
        <v>15</v>
      </c>
      <c r="C93">
        <v>461</v>
      </c>
      <c r="D93">
        <v>21086</v>
      </c>
      <c r="E93">
        <v>58.9</v>
      </c>
      <c r="F93">
        <v>10.01</v>
      </c>
      <c r="G93">
        <v>68.91</v>
      </c>
      <c r="H93" s="154">
        <v>44258</v>
      </c>
    </row>
    <row r="94" spans="1:8">
      <c r="A94" t="s">
        <v>17</v>
      </c>
      <c r="B94" t="s">
        <v>16</v>
      </c>
      <c r="C94">
        <v>462</v>
      </c>
      <c r="D94">
        <v>21087</v>
      </c>
      <c r="E94">
        <v>93.499999999999986</v>
      </c>
      <c r="F94">
        <v>15.9</v>
      </c>
      <c r="G94">
        <v>109.4</v>
      </c>
      <c r="H94" s="154">
        <v>44258</v>
      </c>
    </row>
    <row r="95" spans="1:8">
      <c r="A95" t="s">
        <v>17</v>
      </c>
      <c r="B95" t="s">
        <v>20</v>
      </c>
      <c r="C95">
        <v>463</v>
      </c>
      <c r="D95">
        <v>21088</v>
      </c>
      <c r="E95">
        <v>16.2</v>
      </c>
      <c r="F95">
        <v>2.75</v>
      </c>
      <c r="G95">
        <v>18.95</v>
      </c>
      <c r="H95" s="154">
        <v>44258</v>
      </c>
    </row>
    <row r="96" spans="1:8">
      <c r="A96" t="s">
        <v>17</v>
      </c>
      <c r="B96" t="s">
        <v>21</v>
      </c>
      <c r="C96">
        <v>464</v>
      </c>
      <c r="D96">
        <v>21089</v>
      </c>
      <c r="E96">
        <v>32.699999999999996</v>
      </c>
      <c r="F96">
        <v>5.56</v>
      </c>
      <c r="G96">
        <v>38.26</v>
      </c>
      <c r="H96" s="154">
        <v>44258</v>
      </c>
    </row>
    <row r="97" spans="1:8">
      <c r="A97" t="s">
        <v>56</v>
      </c>
      <c r="B97" t="s">
        <v>55</v>
      </c>
      <c r="C97">
        <v>465</v>
      </c>
      <c r="D97">
        <v>21090</v>
      </c>
      <c r="E97">
        <v>60.8</v>
      </c>
      <c r="F97">
        <v>10.34</v>
      </c>
      <c r="G97">
        <v>71.14</v>
      </c>
      <c r="H97" s="154">
        <v>44258</v>
      </c>
    </row>
    <row r="98" spans="1:8">
      <c r="A98" t="s">
        <v>71</v>
      </c>
      <c r="B98" t="s">
        <v>70</v>
      </c>
      <c r="C98">
        <v>466</v>
      </c>
      <c r="D98">
        <v>21091</v>
      </c>
      <c r="E98">
        <v>14</v>
      </c>
      <c r="F98">
        <v>2.38</v>
      </c>
      <c r="G98">
        <v>16.38</v>
      </c>
      <c r="H98" s="154">
        <v>44258</v>
      </c>
    </row>
    <row r="99" spans="1:8">
      <c r="A99" t="s">
        <v>76</v>
      </c>
      <c r="B99" t="s">
        <v>75</v>
      </c>
      <c r="C99">
        <v>467</v>
      </c>
      <c r="D99">
        <v>21092</v>
      </c>
      <c r="E99">
        <v>58</v>
      </c>
      <c r="F99">
        <v>9.86</v>
      </c>
      <c r="G99">
        <v>67.86</v>
      </c>
      <c r="H99" s="154">
        <v>44258</v>
      </c>
    </row>
    <row r="100" spans="1:8">
      <c r="A100" t="s">
        <v>17</v>
      </c>
      <c r="B100" t="s">
        <v>79</v>
      </c>
      <c r="C100">
        <v>468</v>
      </c>
      <c r="D100">
        <v>21093</v>
      </c>
      <c r="E100">
        <v>128.69999999999999</v>
      </c>
      <c r="F100">
        <v>21.88</v>
      </c>
      <c r="G100">
        <v>150.58000000000001</v>
      </c>
      <c r="H100" s="154">
        <v>44258</v>
      </c>
    </row>
    <row r="101" spans="1:8">
      <c r="A101" t="s">
        <v>40</v>
      </c>
      <c r="B101" t="s">
        <v>39</v>
      </c>
      <c r="C101">
        <v>469</v>
      </c>
      <c r="D101">
        <v>21094</v>
      </c>
      <c r="E101">
        <v>17.5</v>
      </c>
      <c r="F101">
        <v>2.98</v>
      </c>
      <c r="G101">
        <v>20.48</v>
      </c>
      <c r="H101" s="154">
        <v>44258</v>
      </c>
    </row>
    <row r="102" spans="1:8">
      <c r="A102" t="s">
        <v>85</v>
      </c>
      <c r="B102" t="s">
        <v>84</v>
      </c>
      <c r="C102">
        <v>470</v>
      </c>
      <c r="D102">
        <v>21095</v>
      </c>
      <c r="E102">
        <v>33</v>
      </c>
      <c r="F102">
        <v>5.61</v>
      </c>
      <c r="G102">
        <v>38.61</v>
      </c>
      <c r="H102" s="154">
        <v>44258</v>
      </c>
    </row>
    <row r="103" spans="1:8">
      <c r="A103" t="s">
        <v>89</v>
      </c>
      <c r="B103" t="s">
        <v>88</v>
      </c>
      <c r="C103">
        <v>471</v>
      </c>
      <c r="D103">
        <v>21096</v>
      </c>
      <c r="E103">
        <v>20</v>
      </c>
      <c r="F103">
        <v>3.4</v>
      </c>
      <c r="G103">
        <v>23.4</v>
      </c>
      <c r="H103" s="154">
        <v>44258</v>
      </c>
    </row>
    <row r="104" spans="1:8">
      <c r="A104" t="s">
        <v>9</v>
      </c>
      <c r="B104" t="s">
        <v>8</v>
      </c>
      <c r="C104">
        <v>472</v>
      </c>
      <c r="D104">
        <v>21097</v>
      </c>
      <c r="E104">
        <v>316.09999999999997</v>
      </c>
      <c r="F104">
        <v>53.74</v>
      </c>
      <c r="G104">
        <v>369.84</v>
      </c>
      <c r="H104" s="154">
        <v>44265</v>
      </c>
    </row>
    <row r="105" spans="1:8">
      <c r="A105" t="s">
        <v>9</v>
      </c>
      <c r="B105" t="s">
        <v>15</v>
      </c>
      <c r="C105">
        <v>473</v>
      </c>
      <c r="D105">
        <v>21098</v>
      </c>
      <c r="E105">
        <v>77.599999999999994</v>
      </c>
      <c r="F105">
        <v>13.19</v>
      </c>
      <c r="G105">
        <v>90.79</v>
      </c>
      <c r="H105" s="154">
        <v>44265</v>
      </c>
    </row>
    <row r="106" spans="1:8">
      <c r="A106" t="s">
        <v>17</v>
      </c>
      <c r="B106" t="s">
        <v>16</v>
      </c>
      <c r="C106">
        <v>474</v>
      </c>
      <c r="D106">
        <v>21099</v>
      </c>
      <c r="E106">
        <v>99.699999999999989</v>
      </c>
      <c r="F106">
        <v>16.95</v>
      </c>
      <c r="G106">
        <v>116.65</v>
      </c>
      <c r="H106" s="154">
        <v>44265</v>
      </c>
    </row>
    <row r="107" spans="1:8">
      <c r="A107" t="s">
        <v>17</v>
      </c>
      <c r="B107" t="s">
        <v>20</v>
      </c>
      <c r="C107">
        <v>475</v>
      </c>
      <c r="D107">
        <v>21100</v>
      </c>
      <c r="E107" s="106">
        <v>61.7</v>
      </c>
      <c r="F107">
        <v>10.49</v>
      </c>
      <c r="G107" s="106">
        <v>72.19</v>
      </c>
      <c r="H107" s="154">
        <v>44265</v>
      </c>
    </row>
    <row r="108" spans="1:8">
      <c r="A108" t="s">
        <v>17</v>
      </c>
      <c r="B108" t="s">
        <v>21</v>
      </c>
      <c r="C108">
        <v>476</v>
      </c>
      <c r="D108">
        <v>21101</v>
      </c>
      <c r="E108" s="106">
        <v>33</v>
      </c>
      <c r="F108">
        <v>5.61</v>
      </c>
      <c r="G108" s="106">
        <v>38.61</v>
      </c>
      <c r="H108" s="154">
        <v>44265</v>
      </c>
    </row>
    <row r="109" spans="1:8">
      <c r="A109" t="s">
        <v>56</v>
      </c>
      <c r="B109" t="s">
        <v>55</v>
      </c>
      <c r="C109">
        <v>477</v>
      </c>
      <c r="D109">
        <v>21102</v>
      </c>
      <c r="E109" s="106">
        <v>34.4</v>
      </c>
      <c r="F109">
        <v>5.85</v>
      </c>
      <c r="G109" s="106">
        <v>40.25</v>
      </c>
      <c r="H109" s="154">
        <v>44265</v>
      </c>
    </row>
    <row r="110" spans="1:8">
      <c r="A110" t="s">
        <v>71</v>
      </c>
      <c r="B110" t="s">
        <v>70</v>
      </c>
      <c r="C110">
        <v>478</v>
      </c>
      <c r="D110">
        <v>21103</v>
      </c>
      <c r="E110" s="106">
        <v>14</v>
      </c>
      <c r="F110">
        <v>2.38</v>
      </c>
      <c r="G110" s="106">
        <v>16.38</v>
      </c>
      <c r="H110" s="154">
        <v>44265</v>
      </c>
    </row>
    <row r="111" spans="1:8">
      <c r="A111" t="s">
        <v>76</v>
      </c>
      <c r="B111" t="s">
        <v>75</v>
      </c>
      <c r="C111">
        <v>479</v>
      </c>
      <c r="D111">
        <v>21104</v>
      </c>
      <c r="E111" s="106">
        <v>58</v>
      </c>
      <c r="F111">
        <v>9.86</v>
      </c>
      <c r="G111" s="106">
        <v>67.86</v>
      </c>
      <c r="H111" s="154">
        <v>44265</v>
      </c>
    </row>
    <row r="112" spans="1:8">
      <c r="A112" t="s">
        <v>17</v>
      </c>
      <c r="B112" t="s">
        <v>79</v>
      </c>
      <c r="C112">
        <v>480</v>
      </c>
      <c r="D112">
        <v>21105</v>
      </c>
      <c r="E112" s="106">
        <v>201.9</v>
      </c>
      <c r="F112">
        <v>34.32</v>
      </c>
      <c r="G112" s="106">
        <v>236.22</v>
      </c>
      <c r="H112" s="154">
        <v>44265</v>
      </c>
    </row>
    <row r="113" spans="1:8">
      <c r="A113" t="s">
        <v>40</v>
      </c>
      <c r="B113" t="s">
        <v>39</v>
      </c>
      <c r="C113">
        <v>481</v>
      </c>
      <c r="D113">
        <v>21106</v>
      </c>
      <c r="E113" s="106">
        <v>17.5</v>
      </c>
      <c r="F113">
        <v>2.98</v>
      </c>
      <c r="G113" s="106">
        <v>20.48</v>
      </c>
      <c r="H113" s="154">
        <v>44265</v>
      </c>
    </row>
    <row r="114" spans="1:8">
      <c r="A114" t="s">
        <v>85</v>
      </c>
      <c r="B114" t="s">
        <v>84</v>
      </c>
      <c r="C114">
        <v>482</v>
      </c>
      <c r="D114">
        <v>21107</v>
      </c>
      <c r="E114" s="106">
        <v>33</v>
      </c>
      <c r="F114">
        <v>5.61</v>
      </c>
      <c r="G114" s="106">
        <v>38.61</v>
      </c>
      <c r="H114" s="154">
        <v>44265</v>
      </c>
    </row>
    <row r="115" spans="1:8">
      <c r="A115" t="s">
        <v>9</v>
      </c>
      <c r="B115" t="s">
        <v>8</v>
      </c>
      <c r="C115">
        <v>483</v>
      </c>
      <c r="D115">
        <v>21108</v>
      </c>
      <c r="E115" s="106">
        <v>396.79999999999995</v>
      </c>
      <c r="F115">
        <v>67.459999999999994</v>
      </c>
      <c r="G115" s="106">
        <v>464.26</v>
      </c>
      <c r="H115" s="154">
        <v>44272</v>
      </c>
    </row>
    <row r="116" spans="1:8">
      <c r="A116" t="s">
        <v>9</v>
      </c>
      <c r="B116" t="s">
        <v>15</v>
      </c>
      <c r="C116">
        <v>484</v>
      </c>
      <c r="D116">
        <v>21109</v>
      </c>
      <c r="E116" s="106">
        <v>85.399999999999991</v>
      </c>
      <c r="F116">
        <v>14.52</v>
      </c>
      <c r="G116" s="106">
        <v>99.92</v>
      </c>
      <c r="H116" s="154">
        <v>44272</v>
      </c>
    </row>
    <row r="117" spans="1:8">
      <c r="A117" t="s">
        <v>17</v>
      </c>
      <c r="B117" t="s">
        <v>16</v>
      </c>
      <c r="C117">
        <v>485</v>
      </c>
      <c r="D117">
        <v>21110</v>
      </c>
      <c r="E117" s="106">
        <v>116.2</v>
      </c>
      <c r="F117">
        <v>19.75</v>
      </c>
      <c r="G117" s="106">
        <v>135.94999999999999</v>
      </c>
      <c r="H117" s="154">
        <v>44272</v>
      </c>
    </row>
    <row r="118" spans="1:8">
      <c r="A118" t="s">
        <v>17</v>
      </c>
      <c r="B118" t="s">
        <v>20</v>
      </c>
      <c r="C118">
        <v>486</v>
      </c>
      <c r="D118">
        <v>21111</v>
      </c>
      <c r="E118" s="106">
        <v>88.199999999999989</v>
      </c>
      <c r="F118">
        <v>14.99</v>
      </c>
      <c r="G118" s="106">
        <v>103.19</v>
      </c>
      <c r="H118" s="154">
        <v>44272</v>
      </c>
    </row>
    <row r="119" spans="1:8">
      <c r="A119" t="s">
        <v>17</v>
      </c>
      <c r="B119" t="s">
        <v>21</v>
      </c>
      <c r="C119">
        <v>487</v>
      </c>
      <c r="D119">
        <v>21112</v>
      </c>
      <c r="E119">
        <v>32.4</v>
      </c>
      <c r="F119">
        <v>5.51</v>
      </c>
      <c r="G119">
        <v>37.909999999999997</v>
      </c>
      <c r="H119" s="154">
        <v>44272</v>
      </c>
    </row>
    <row r="120" spans="1:8">
      <c r="A120" t="s">
        <v>56</v>
      </c>
      <c r="B120" t="s">
        <v>55</v>
      </c>
      <c r="C120">
        <v>488</v>
      </c>
      <c r="D120">
        <v>21113</v>
      </c>
      <c r="E120" s="106">
        <v>40.799999999999997</v>
      </c>
      <c r="F120">
        <v>6.94</v>
      </c>
      <c r="G120" s="106">
        <v>47.74</v>
      </c>
      <c r="H120" s="154">
        <v>44272</v>
      </c>
    </row>
    <row r="121" spans="1:8">
      <c r="A121" t="s">
        <v>71</v>
      </c>
      <c r="B121" t="s">
        <v>70</v>
      </c>
      <c r="C121">
        <v>489</v>
      </c>
      <c r="D121">
        <v>21114</v>
      </c>
      <c r="E121" s="106">
        <v>14</v>
      </c>
      <c r="F121">
        <v>2.38</v>
      </c>
      <c r="G121" s="106">
        <v>16.38</v>
      </c>
      <c r="H121" s="154">
        <v>44272</v>
      </c>
    </row>
    <row r="122" spans="1:8">
      <c r="A122" t="s">
        <v>76</v>
      </c>
      <c r="B122" t="s">
        <v>75</v>
      </c>
      <c r="C122">
        <v>490</v>
      </c>
      <c r="D122">
        <v>21115</v>
      </c>
      <c r="E122" s="106">
        <v>53</v>
      </c>
      <c r="F122">
        <v>9.01</v>
      </c>
      <c r="G122" s="106">
        <v>62.01</v>
      </c>
      <c r="H122" s="154">
        <v>44272</v>
      </c>
    </row>
    <row r="123" spans="1:8">
      <c r="A123" t="s">
        <v>17</v>
      </c>
      <c r="B123" t="s">
        <v>79</v>
      </c>
      <c r="C123">
        <v>491</v>
      </c>
      <c r="D123">
        <v>21116</v>
      </c>
      <c r="E123" s="106">
        <v>204.7</v>
      </c>
      <c r="F123">
        <v>34.799999999999997</v>
      </c>
      <c r="G123" s="106">
        <v>239.5</v>
      </c>
      <c r="H123" s="154">
        <v>44272</v>
      </c>
    </row>
    <row r="124" spans="1:8">
      <c r="A124" s="113" t="s">
        <v>9</v>
      </c>
      <c r="B124" t="s">
        <v>8</v>
      </c>
      <c r="C124">
        <v>492</v>
      </c>
      <c r="D124">
        <v>21117</v>
      </c>
      <c r="E124">
        <v>378.4</v>
      </c>
      <c r="F124">
        <v>64.33</v>
      </c>
      <c r="G124">
        <v>442.73</v>
      </c>
      <c r="H124" s="154">
        <v>44279</v>
      </c>
    </row>
    <row r="125" spans="1:8">
      <c r="A125" t="s">
        <v>9</v>
      </c>
      <c r="B125" t="s">
        <v>15</v>
      </c>
      <c r="C125">
        <v>493</v>
      </c>
      <c r="D125" s="113">
        <v>21118</v>
      </c>
      <c r="E125">
        <v>70.099999999999994</v>
      </c>
      <c r="F125">
        <v>11.92</v>
      </c>
      <c r="G125" s="106">
        <v>82.02</v>
      </c>
      <c r="H125" s="154">
        <v>44279</v>
      </c>
    </row>
    <row r="126" spans="1:8">
      <c r="A126" t="s">
        <v>17</v>
      </c>
      <c r="B126" t="s">
        <v>16</v>
      </c>
      <c r="C126">
        <v>494</v>
      </c>
      <c r="D126">
        <v>21119</v>
      </c>
      <c r="E126">
        <v>79.399999999999991</v>
      </c>
      <c r="F126">
        <v>13.5</v>
      </c>
      <c r="G126" s="106">
        <v>92.9</v>
      </c>
      <c r="H126" s="154">
        <v>44279</v>
      </c>
    </row>
    <row r="127" spans="1:8">
      <c r="A127" t="s">
        <v>17</v>
      </c>
      <c r="B127" t="s">
        <v>20</v>
      </c>
      <c r="C127">
        <v>495</v>
      </c>
      <c r="D127">
        <v>21120</v>
      </c>
      <c r="E127">
        <v>82.199999999999989</v>
      </c>
      <c r="F127">
        <v>13.97</v>
      </c>
      <c r="G127">
        <v>96.17</v>
      </c>
      <c r="H127" s="154">
        <v>44279</v>
      </c>
    </row>
    <row r="128" spans="1:8">
      <c r="A128" t="s">
        <v>17</v>
      </c>
      <c r="B128" t="s">
        <v>21</v>
      </c>
      <c r="C128">
        <v>496</v>
      </c>
      <c r="D128">
        <v>21121</v>
      </c>
      <c r="E128">
        <v>45.800000000000004</v>
      </c>
      <c r="F128">
        <v>7.79</v>
      </c>
      <c r="G128">
        <v>53.59</v>
      </c>
      <c r="H128" s="154">
        <v>44279</v>
      </c>
    </row>
    <row r="129" spans="1:8">
      <c r="A129" t="s">
        <v>56</v>
      </c>
      <c r="B129" t="s">
        <v>55</v>
      </c>
      <c r="C129">
        <v>497</v>
      </c>
      <c r="D129">
        <v>21122</v>
      </c>
      <c r="E129">
        <v>0</v>
      </c>
      <c r="F129">
        <v>0</v>
      </c>
      <c r="G129">
        <v>0</v>
      </c>
      <c r="H129" s="154">
        <v>44279</v>
      </c>
    </row>
    <row r="130" spans="1:8">
      <c r="A130" t="s">
        <v>71</v>
      </c>
      <c r="B130" t="s">
        <v>70</v>
      </c>
      <c r="C130">
        <v>498</v>
      </c>
      <c r="D130">
        <v>21123</v>
      </c>
      <c r="E130">
        <v>0</v>
      </c>
      <c r="F130">
        <v>0</v>
      </c>
      <c r="G130">
        <v>0</v>
      </c>
      <c r="H130" s="154">
        <v>44279</v>
      </c>
    </row>
    <row r="131" spans="1:8">
      <c r="A131" t="s">
        <v>76</v>
      </c>
      <c r="B131" t="s">
        <v>75</v>
      </c>
      <c r="C131">
        <v>499</v>
      </c>
      <c r="D131">
        <v>21124</v>
      </c>
      <c r="E131">
        <v>0</v>
      </c>
      <c r="F131">
        <v>0</v>
      </c>
      <c r="G131">
        <v>0</v>
      </c>
      <c r="H131" s="154">
        <v>44279</v>
      </c>
    </row>
    <row r="132" spans="1:8">
      <c r="A132" t="s">
        <v>17</v>
      </c>
      <c r="B132" t="s">
        <v>79</v>
      </c>
      <c r="C132">
        <v>497</v>
      </c>
      <c r="D132">
        <v>21122</v>
      </c>
      <c r="E132">
        <v>215.2</v>
      </c>
      <c r="F132">
        <v>36.58</v>
      </c>
      <c r="G132" s="106">
        <v>251.78</v>
      </c>
      <c r="H132" s="154">
        <v>44279</v>
      </c>
    </row>
    <row r="133" spans="1:8">
      <c r="A133" t="s">
        <v>9</v>
      </c>
      <c r="B133" t="s">
        <v>8</v>
      </c>
      <c r="C133">
        <v>498</v>
      </c>
      <c r="D133">
        <v>21123</v>
      </c>
      <c r="E133">
        <v>362.2</v>
      </c>
      <c r="F133">
        <v>61.57</v>
      </c>
      <c r="G133">
        <v>423.77</v>
      </c>
      <c r="H133" s="154">
        <v>44286</v>
      </c>
    </row>
    <row r="134" spans="1:8">
      <c r="A134" t="s">
        <v>9</v>
      </c>
      <c r="B134" t="s">
        <v>15</v>
      </c>
      <c r="C134">
        <v>499</v>
      </c>
      <c r="D134">
        <v>21124</v>
      </c>
      <c r="E134">
        <v>66.099999999999994</v>
      </c>
      <c r="F134">
        <v>11.24</v>
      </c>
      <c r="G134">
        <v>77.34</v>
      </c>
      <c r="H134" s="154">
        <v>44286</v>
      </c>
    </row>
    <row r="135" spans="1:8">
      <c r="A135" t="s">
        <v>17</v>
      </c>
      <c r="B135" t="s">
        <v>16</v>
      </c>
      <c r="C135">
        <v>500</v>
      </c>
      <c r="D135">
        <v>21125</v>
      </c>
      <c r="E135">
        <v>99.7</v>
      </c>
      <c r="F135">
        <v>16.95</v>
      </c>
      <c r="G135">
        <v>116.65</v>
      </c>
      <c r="H135" s="154">
        <v>44286</v>
      </c>
    </row>
    <row r="136" spans="1:8">
      <c r="A136" t="s">
        <v>17</v>
      </c>
      <c r="B136" t="s">
        <v>20</v>
      </c>
      <c r="C136">
        <v>501</v>
      </c>
      <c r="D136" s="113">
        <v>21126</v>
      </c>
      <c r="E136">
        <v>63.199999999999996</v>
      </c>
      <c r="F136">
        <v>10.74</v>
      </c>
      <c r="G136" s="106">
        <v>73.94</v>
      </c>
      <c r="H136" s="154">
        <v>44286</v>
      </c>
    </row>
    <row r="137" spans="1:8">
      <c r="A137" t="s">
        <v>17</v>
      </c>
      <c r="B137" t="s">
        <v>21</v>
      </c>
      <c r="C137">
        <v>502</v>
      </c>
      <c r="D137">
        <v>21127</v>
      </c>
      <c r="E137">
        <v>45.2</v>
      </c>
      <c r="F137">
        <v>7.68</v>
      </c>
      <c r="G137">
        <v>52.88</v>
      </c>
      <c r="H137" s="154">
        <v>44286</v>
      </c>
    </row>
    <row r="138" spans="1:8">
      <c r="A138" t="s">
        <v>17</v>
      </c>
      <c r="B138" t="s">
        <v>79</v>
      </c>
      <c r="C138">
        <v>503</v>
      </c>
      <c r="D138">
        <v>21128</v>
      </c>
      <c r="E138">
        <v>177.6</v>
      </c>
      <c r="F138">
        <v>30.19</v>
      </c>
      <c r="G138">
        <v>207.79</v>
      </c>
      <c r="H138" s="154">
        <v>44286</v>
      </c>
    </row>
    <row r="139" spans="1:8">
      <c r="A139" t="s">
        <v>85</v>
      </c>
      <c r="B139" t="s">
        <v>84</v>
      </c>
      <c r="C139">
        <v>505</v>
      </c>
      <c r="D139">
        <v>21129</v>
      </c>
      <c r="E139">
        <v>22</v>
      </c>
      <c r="F139">
        <v>3.74</v>
      </c>
      <c r="G139">
        <v>25.74</v>
      </c>
      <c r="H139" s="154">
        <v>44286</v>
      </c>
    </row>
    <row r="140" spans="1:8">
      <c r="E140">
        <f>SUM(E92:E139)</f>
        <v>4426.8999999999996</v>
      </c>
      <c r="F140">
        <f>SUM(F92:F139)</f>
        <v>752.59000000000015</v>
      </c>
      <c r="G140"/>
    </row>
    <row r="141" spans="1:8">
      <c r="G141"/>
    </row>
    <row r="142" spans="1:8" ht="18">
      <c r="A142" s="114" t="s">
        <v>270</v>
      </c>
      <c r="G142"/>
    </row>
    <row r="143" spans="1:8">
      <c r="A143" t="s">
        <v>9</v>
      </c>
      <c r="B143" t="s">
        <v>8</v>
      </c>
      <c r="C143">
        <v>506</v>
      </c>
      <c r="D143">
        <v>21130</v>
      </c>
      <c r="E143">
        <v>223.39999999999998</v>
      </c>
      <c r="F143">
        <v>37.979999999999997</v>
      </c>
      <c r="G143">
        <v>261.38</v>
      </c>
      <c r="H143" s="154">
        <v>44293</v>
      </c>
    </row>
    <row r="144" spans="1:8">
      <c r="A144" t="s">
        <v>9</v>
      </c>
      <c r="B144" t="s">
        <v>15</v>
      </c>
      <c r="C144">
        <v>507</v>
      </c>
      <c r="D144">
        <v>21131</v>
      </c>
      <c r="E144">
        <v>77</v>
      </c>
      <c r="F144">
        <v>13.09</v>
      </c>
      <c r="G144">
        <v>90.09</v>
      </c>
      <c r="H144" s="154">
        <v>44293</v>
      </c>
    </row>
    <row r="145" spans="1:8">
      <c r="A145" t="s">
        <v>17</v>
      </c>
      <c r="B145" t="s">
        <v>16</v>
      </c>
      <c r="C145">
        <v>508</v>
      </c>
      <c r="D145">
        <v>21132</v>
      </c>
      <c r="E145">
        <v>57.4</v>
      </c>
      <c r="F145">
        <v>9.76</v>
      </c>
      <c r="G145">
        <v>67.16</v>
      </c>
      <c r="H145" s="154">
        <v>44293</v>
      </c>
    </row>
    <row r="146" spans="1:8">
      <c r="A146" t="s">
        <v>17</v>
      </c>
      <c r="B146" t="s">
        <v>20</v>
      </c>
      <c r="C146">
        <v>509</v>
      </c>
      <c r="D146">
        <v>21133</v>
      </c>
      <c r="E146">
        <v>77</v>
      </c>
      <c r="F146">
        <v>13.09</v>
      </c>
      <c r="G146">
        <v>90.09</v>
      </c>
      <c r="H146" s="154">
        <v>44293</v>
      </c>
    </row>
    <row r="147" spans="1:8">
      <c r="A147" t="s">
        <v>17</v>
      </c>
      <c r="B147" t="s">
        <v>21</v>
      </c>
      <c r="C147">
        <v>510</v>
      </c>
      <c r="D147">
        <v>21134</v>
      </c>
      <c r="E147">
        <v>29.300000000000004</v>
      </c>
      <c r="F147">
        <v>4.9800000000000004</v>
      </c>
      <c r="G147">
        <v>34.28</v>
      </c>
      <c r="H147" s="154">
        <v>44293</v>
      </c>
    </row>
    <row r="148" spans="1:8">
      <c r="A148" t="s">
        <v>56</v>
      </c>
      <c r="B148" t="s">
        <v>55</v>
      </c>
      <c r="C148">
        <v>511</v>
      </c>
      <c r="D148">
        <v>21135</v>
      </c>
      <c r="E148">
        <v>22.8</v>
      </c>
      <c r="F148">
        <v>3.88</v>
      </c>
      <c r="G148">
        <v>26.68</v>
      </c>
      <c r="H148" s="154">
        <v>44293</v>
      </c>
    </row>
    <row r="149" spans="1:8">
      <c r="A149" t="s">
        <v>71</v>
      </c>
      <c r="B149" t="s">
        <v>70</v>
      </c>
      <c r="C149">
        <v>512</v>
      </c>
      <c r="D149">
        <v>21136</v>
      </c>
      <c r="E149">
        <v>14.5</v>
      </c>
      <c r="F149">
        <v>2.4700000000000002</v>
      </c>
      <c r="G149">
        <v>16.97</v>
      </c>
      <c r="H149" s="154">
        <v>44293</v>
      </c>
    </row>
    <row r="150" spans="1:8">
      <c r="A150" t="s">
        <v>85</v>
      </c>
      <c r="B150" t="s">
        <v>84</v>
      </c>
      <c r="C150">
        <v>513</v>
      </c>
      <c r="D150">
        <v>21137</v>
      </c>
      <c r="E150">
        <v>11</v>
      </c>
      <c r="F150">
        <v>1.87</v>
      </c>
      <c r="G150">
        <v>12.87</v>
      </c>
      <c r="H150" s="154">
        <v>44293</v>
      </c>
    </row>
    <row r="151" spans="1:8">
      <c r="A151" t="s">
        <v>17</v>
      </c>
      <c r="B151" t="s">
        <v>79</v>
      </c>
      <c r="C151">
        <v>514</v>
      </c>
      <c r="D151">
        <v>21138</v>
      </c>
      <c r="E151">
        <v>127.5</v>
      </c>
      <c r="F151">
        <v>21.68</v>
      </c>
      <c r="G151">
        <v>149.18</v>
      </c>
      <c r="H151" s="154">
        <v>44293</v>
      </c>
    </row>
    <row r="152" spans="1:8">
      <c r="A152" t="s">
        <v>9</v>
      </c>
      <c r="B152" t="s">
        <v>8</v>
      </c>
      <c r="C152">
        <v>515</v>
      </c>
      <c r="D152">
        <v>21139</v>
      </c>
      <c r="E152">
        <v>319.39999999999998</v>
      </c>
      <c r="F152">
        <v>54.3</v>
      </c>
      <c r="G152">
        <v>373.7</v>
      </c>
      <c r="H152" s="154">
        <v>44300</v>
      </c>
    </row>
    <row r="153" spans="1:8">
      <c r="A153" t="s">
        <v>9</v>
      </c>
      <c r="B153" t="s">
        <v>15</v>
      </c>
      <c r="C153">
        <v>516</v>
      </c>
      <c r="D153">
        <v>21140</v>
      </c>
      <c r="E153">
        <v>31.799999999999997</v>
      </c>
      <c r="F153">
        <v>5.41</v>
      </c>
      <c r="G153">
        <v>37.21</v>
      </c>
      <c r="H153" s="154">
        <v>44300</v>
      </c>
    </row>
    <row r="154" spans="1:8">
      <c r="A154" t="s">
        <v>17</v>
      </c>
      <c r="B154" t="s">
        <v>16</v>
      </c>
      <c r="C154">
        <v>517</v>
      </c>
      <c r="D154">
        <v>21141</v>
      </c>
      <c r="E154">
        <v>60.8</v>
      </c>
      <c r="F154">
        <v>10.34</v>
      </c>
      <c r="G154">
        <v>71.14</v>
      </c>
      <c r="H154" s="154">
        <v>44300</v>
      </c>
    </row>
    <row r="155" spans="1:8">
      <c r="A155" t="s">
        <v>17</v>
      </c>
      <c r="B155" t="s">
        <v>20</v>
      </c>
      <c r="C155">
        <v>518</v>
      </c>
      <c r="D155">
        <v>21142</v>
      </c>
      <c r="E155">
        <v>61.4</v>
      </c>
      <c r="F155">
        <v>10.44</v>
      </c>
      <c r="G155">
        <v>71.84</v>
      </c>
      <c r="H155" s="154">
        <v>44300</v>
      </c>
    </row>
    <row r="156" spans="1:8">
      <c r="A156" t="s">
        <v>17</v>
      </c>
      <c r="B156" t="s">
        <v>21</v>
      </c>
      <c r="C156">
        <v>519</v>
      </c>
      <c r="D156">
        <v>21143</v>
      </c>
      <c r="E156">
        <v>34.6</v>
      </c>
      <c r="F156">
        <v>5.88</v>
      </c>
      <c r="G156">
        <v>40.479999999999997</v>
      </c>
      <c r="H156" s="154">
        <v>44300</v>
      </c>
    </row>
    <row r="157" spans="1:8">
      <c r="A157" t="s">
        <v>56</v>
      </c>
      <c r="B157" t="s">
        <v>55</v>
      </c>
      <c r="C157">
        <v>520</v>
      </c>
      <c r="D157">
        <v>21144</v>
      </c>
      <c r="E157">
        <v>33.6</v>
      </c>
      <c r="F157">
        <v>5.71</v>
      </c>
      <c r="G157">
        <v>39.31</v>
      </c>
      <c r="H157" s="154">
        <v>44300</v>
      </c>
    </row>
    <row r="158" spans="1:8">
      <c r="A158" t="s">
        <v>71</v>
      </c>
      <c r="B158" t="s">
        <v>70</v>
      </c>
      <c r="C158">
        <v>521</v>
      </c>
      <c r="D158">
        <v>21145</v>
      </c>
      <c r="E158">
        <v>14.5</v>
      </c>
      <c r="F158">
        <v>2.4700000000000002</v>
      </c>
      <c r="G158">
        <v>16.97</v>
      </c>
      <c r="H158" s="154">
        <v>44300</v>
      </c>
    </row>
    <row r="159" spans="1:8">
      <c r="A159" t="s">
        <v>85</v>
      </c>
      <c r="B159" t="s">
        <v>84</v>
      </c>
      <c r="C159">
        <v>522</v>
      </c>
      <c r="D159">
        <v>21146</v>
      </c>
      <c r="E159">
        <v>22</v>
      </c>
      <c r="F159">
        <v>3.74</v>
      </c>
      <c r="G159">
        <v>25.74</v>
      </c>
      <c r="H159" s="154">
        <v>44300</v>
      </c>
    </row>
    <row r="160" spans="1:8">
      <c r="A160" s="58" t="s">
        <v>17</v>
      </c>
      <c r="B160" s="58" t="s">
        <v>79</v>
      </c>
      <c r="C160" s="58">
        <v>523</v>
      </c>
      <c r="D160" s="58">
        <v>21147</v>
      </c>
      <c r="E160" s="58">
        <v>125</v>
      </c>
      <c r="F160" s="58">
        <v>21.25</v>
      </c>
      <c r="G160" s="58">
        <v>146.25</v>
      </c>
      <c r="H160" s="157">
        <v>44300</v>
      </c>
    </row>
    <row r="161" spans="1:8">
      <c r="A161" t="str">
        <f>'Fak1'!$C$10</f>
        <v>"Mercator BH" Trgovina na veliko i malo d.o.o. Sarajevo</v>
      </c>
      <c r="B161" t="str">
        <f>'Fak1'!$C$12</f>
        <v>Ul. Ložionička 16, podr. 47 - prod 67</v>
      </c>
      <c r="C161" s="151">
        <v>524</v>
      </c>
      <c r="D161" s="151">
        <v>21148</v>
      </c>
      <c r="E161" s="63">
        <v>301.5</v>
      </c>
      <c r="F161" s="63">
        <v>51.26</v>
      </c>
      <c r="G161" s="63">
        <v>352.76</v>
      </c>
      <c r="H161" s="158">
        <v>44307</v>
      </c>
    </row>
    <row r="162" spans="1:8">
      <c r="A162" t="str">
        <f>IF(G162&lt;1, "",'Fak2'!$C$10)</f>
        <v>"Mercator BH" Trgovina na veliko i malo d.o.o. Sarajevo</v>
      </c>
      <c r="B162" t="str">
        <f>IF(G162&lt;1, "",'Fak2'!$C$12)</f>
        <v>Bulevar Mimar Sinana 1, Dobrinja, podr. 49 -prod 69</v>
      </c>
      <c r="C162" s="151">
        <v>525</v>
      </c>
      <c r="D162" s="151">
        <v>21149</v>
      </c>
      <c r="E162" s="63">
        <v>21.5</v>
      </c>
      <c r="F162" s="63">
        <v>3.66</v>
      </c>
      <c r="G162" s="63">
        <v>25.16</v>
      </c>
      <c r="H162" s="158">
        <v>44307</v>
      </c>
    </row>
    <row r="163" spans="1:8">
      <c r="A163" t="str">
        <f>IF(G163&lt;1, "",'Fak3'!$C$10)</f>
        <v>BINGO d.o.o. Tuzla</v>
      </c>
      <c r="B163" t="str">
        <f>IF(G163&lt;1, "",'Fak3'!$C$12)</f>
        <v>Prod br. 219 ALTA</v>
      </c>
      <c r="C163" s="151">
        <v>526</v>
      </c>
      <c r="D163" s="151">
        <v>21150</v>
      </c>
      <c r="E163" s="63">
        <v>106.9</v>
      </c>
      <c r="F163" s="63">
        <v>18.170000000000002</v>
      </c>
      <c r="G163" s="63">
        <v>125.07</v>
      </c>
      <c r="H163" s="158">
        <v>44307</v>
      </c>
    </row>
    <row r="164" spans="1:8">
      <c r="A164" t="str">
        <f>IF(G164&lt;1, "",'Fak4'!$C$10)</f>
        <v>BINGO d.o.o. Tuzla</v>
      </c>
      <c r="B164" t="str">
        <f>IF(G164&lt;1, "",'Fak4'!$C$12)</f>
        <v>Hipermarket Kolodvorska PJ 143, Sarajevo 71000</v>
      </c>
      <c r="C164" s="151">
        <v>527</v>
      </c>
      <c r="D164" s="151">
        <v>21151</v>
      </c>
      <c r="E164" s="63">
        <v>38</v>
      </c>
      <c r="F164" s="63">
        <v>6.46</v>
      </c>
      <c r="G164" s="63">
        <v>44.46</v>
      </c>
      <c r="H164" s="158">
        <v>44307</v>
      </c>
    </row>
    <row r="165" spans="1:8">
      <c r="A165" t="str">
        <f>IF(G165&lt;1, "",'Fak5'!$C$10)</f>
        <v>Zelenara trgovinska radnja</v>
      </c>
      <c r="B165" t="str">
        <f>IF(G165&lt;1, "",'Fak5'!$C$12)</f>
        <v>Zelenara, Svetosavska 19</v>
      </c>
      <c r="C165" s="151">
        <v>528</v>
      </c>
      <c r="D165" s="151">
        <v>21152</v>
      </c>
      <c r="E165" s="63">
        <v>42.7</v>
      </c>
      <c r="F165" s="63">
        <v>7.26</v>
      </c>
      <c r="G165" s="63">
        <v>49.96</v>
      </c>
      <c r="H165" s="158">
        <v>44307</v>
      </c>
    </row>
    <row r="166" spans="1:8">
      <c r="A166" t="str">
        <f>IF(G166&lt;1, "",'Fak6'!$C$10)</f>
        <v>BINGO d.o.o. Tuzla</v>
      </c>
      <c r="B166" t="str">
        <f>IF(G166&lt;1, "",'Fak6'!$C$12)</f>
        <v>BCC Sarajevo, PJ. 247</v>
      </c>
      <c r="C166" s="151">
        <v>529</v>
      </c>
      <c r="D166" s="151">
        <v>21153</v>
      </c>
      <c r="E166" s="63">
        <v>149.9</v>
      </c>
      <c r="F166" s="63">
        <v>25.48</v>
      </c>
      <c r="G166" s="63">
        <v>175.38</v>
      </c>
      <c r="H166" s="158">
        <v>44307</v>
      </c>
    </row>
    <row r="167" spans="1:8">
      <c r="A167" t="str">
        <f>IF(G167&lt;1, "",'Fak7'!$C$10)</f>
        <v>Zelenara trgovinska radnja</v>
      </c>
      <c r="B167" t="str">
        <f>IF(G167&lt;1, "",'Fak7'!$C$12)</f>
        <v>Zelenara, Svetosavska 19</v>
      </c>
      <c r="C167" s="151">
        <v>530</v>
      </c>
      <c r="D167" s="151">
        <v>21154</v>
      </c>
      <c r="E167" s="63">
        <v>25.2</v>
      </c>
      <c r="F167" s="63">
        <v>4.28</v>
      </c>
      <c r="G167" s="63">
        <v>29.48</v>
      </c>
      <c r="H167" s="158">
        <v>44307</v>
      </c>
    </row>
    <row r="168" spans="1:8">
      <c r="A168" t="str">
        <f>IF(G168&lt;1, "",'Fak8'!$C$10)</f>
        <v xml:space="preserve">Lounge bar "Shane" Nedeljko Bakula </v>
      </c>
      <c r="B168" t="str">
        <f>IF(G168&lt;1, "",'Fak8'!$C$12)</f>
        <v>Shane, Akademika Petra Mandića 17</v>
      </c>
      <c r="C168" s="151">
        <v>531</v>
      </c>
      <c r="D168" s="151">
        <v>21155</v>
      </c>
      <c r="E168" s="63">
        <v>14.5</v>
      </c>
      <c r="F168" s="63">
        <v>2.4700000000000002</v>
      </c>
      <c r="G168" s="63">
        <v>16.97</v>
      </c>
      <c r="H168" s="158">
        <v>44307</v>
      </c>
    </row>
    <row r="169" spans="1:8">
      <c r="A169" t="str">
        <f>IF(G169&lt;1, "",'Fak9'!$C$10)</f>
        <v>UR "4Sobe Gospođe Safije"</v>
      </c>
      <c r="B169" t="str">
        <f>IF(G169&lt;1, "",'Fak9'!$C$12)</f>
        <v>4SGS , Čekaluša 61</v>
      </c>
      <c r="C169" s="151">
        <v>532</v>
      </c>
      <c r="D169" s="151">
        <v>21156</v>
      </c>
      <c r="E169" s="63">
        <v>22</v>
      </c>
      <c r="F169" s="63">
        <v>3.74</v>
      </c>
      <c r="G169" s="63">
        <v>25.74</v>
      </c>
      <c r="H169" s="158">
        <v>44307</v>
      </c>
    </row>
    <row r="170" spans="1:8">
      <c r="A170" t="s">
        <v>9</v>
      </c>
      <c r="B170" t="s">
        <v>8</v>
      </c>
      <c r="C170">
        <v>533</v>
      </c>
      <c r="D170">
        <v>21157</v>
      </c>
      <c r="E170">
        <v>302.5</v>
      </c>
      <c r="F170">
        <v>51.43</v>
      </c>
      <c r="G170">
        <v>353.93</v>
      </c>
      <c r="H170" s="154">
        <v>44314</v>
      </c>
    </row>
    <row r="171" spans="1:8">
      <c r="A171" t="s">
        <v>9</v>
      </c>
      <c r="B171" s="44" t="s">
        <v>15</v>
      </c>
      <c r="C171">
        <v>534</v>
      </c>
      <c r="D171">
        <v>21158</v>
      </c>
      <c r="E171">
        <v>58.6</v>
      </c>
      <c r="F171">
        <v>9.9600000000000009</v>
      </c>
      <c r="G171">
        <v>68.56</v>
      </c>
      <c r="H171" s="154">
        <v>44314</v>
      </c>
    </row>
    <row r="172" spans="1:8">
      <c r="A172" t="s">
        <v>17</v>
      </c>
      <c r="B172" t="s">
        <v>16</v>
      </c>
      <c r="C172">
        <v>535</v>
      </c>
      <c r="D172" s="113">
        <v>21159</v>
      </c>
      <c r="E172">
        <v>90.7</v>
      </c>
      <c r="F172">
        <v>15.42</v>
      </c>
      <c r="G172" s="106">
        <v>106.12</v>
      </c>
      <c r="H172" s="154">
        <v>44314</v>
      </c>
    </row>
    <row r="173" spans="1:8">
      <c r="A173" t="s">
        <v>17</v>
      </c>
      <c r="B173" t="s">
        <v>20</v>
      </c>
      <c r="C173">
        <v>536</v>
      </c>
      <c r="D173">
        <v>21160</v>
      </c>
      <c r="E173" s="106">
        <v>65.8</v>
      </c>
      <c r="F173" s="106">
        <v>11.19</v>
      </c>
      <c r="G173" s="106">
        <v>76.989999999999995</v>
      </c>
      <c r="H173" s="154">
        <v>44314</v>
      </c>
    </row>
    <row r="174" spans="1:8">
      <c r="A174" t="s">
        <v>17</v>
      </c>
      <c r="B174" t="s">
        <v>21</v>
      </c>
      <c r="C174">
        <v>537</v>
      </c>
      <c r="D174">
        <v>21161</v>
      </c>
      <c r="E174" s="106">
        <v>15.9</v>
      </c>
      <c r="F174" s="106">
        <v>2.7</v>
      </c>
      <c r="G174" s="106">
        <v>18.600000000000001</v>
      </c>
      <c r="H174" s="154">
        <v>44314</v>
      </c>
    </row>
    <row r="175" spans="1:8">
      <c r="A175" t="s">
        <v>17</v>
      </c>
      <c r="B175" t="s">
        <v>79</v>
      </c>
      <c r="C175">
        <v>538</v>
      </c>
      <c r="D175">
        <v>21162</v>
      </c>
      <c r="E175" s="106">
        <v>147.80000000000001</v>
      </c>
      <c r="F175" s="106">
        <v>25.13</v>
      </c>
      <c r="G175" s="106">
        <v>172.93</v>
      </c>
      <c r="H175" s="154">
        <v>44314</v>
      </c>
    </row>
    <row r="176" spans="1:8">
      <c r="A176" t="s">
        <v>56</v>
      </c>
      <c r="B176" t="s">
        <v>55</v>
      </c>
      <c r="C176">
        <v>539</v>
      </c>
      <c r="D176">
        <v>21163</v>
      </c>
      <c r="E176" s="106">
        <v>26</v>
      </c>
      <c r="F176" s="106">
        <v>4.42</v>
      </c>
      <c r="G176" s="106">
        <v>30.42</v>
      </c>
      <c r="H176" s="154">
        <v>44314</v>
      </c>
    </row>
    <row r="177" spans="1:8">
      <c r="A177" t="s">
        <v>71</v>
      </c>
      <c r="B177" t="s">
        <v>70</v>
      </c>
      <c r="C177">
        <v>540</v>
      </c>
      <c r="D177">
        <v>21164</v>
      </c>
      <c r="E177" s="106">
        <v>14.5</v>
      </c>
      <c r="F177" s="106">
        <v>2.4700000000000002</v>
      </c>
      <c r="G177" s="106">
        <v>16.97</v>
      </c>
      <c r="H177" s="154">
        <v>44314</v>
      </c>
    </row>
    <row r="178" spans="1:8">
      <c r="A178" t="s">
        <v>40</v>
      </c>
      <c r="B178" t="s">
        <v>39</v>
      </c>
      <c r="C178">
        <v>541</v>
      </c>
      <c r="D178">
        <v>21165</v>
      </c>
      <c r="E178" s="106">
        <v>28</v>
      </c>
      <c r="F178" s="106">
        <v>4.76</v>
      </c>
      <c r="G178" s="106">
        <v>32.76</v>
      </c>
      <c r="H178" s="154">
        <v>44314</v>
      </c>
    </row>
    <row r="179" spans="1:8">
      <c r="E179">
        <f>SUM(E143:E178)</f>
        <v>2815</v>
      </c>
      <c r="F179">
        <f>SUM(F143:F178)</f>
        <v>478.6</v>
      </c>
    </row>
    <row r="190" spans="1:8">
      <c r="A190" t="s">
        <v>9</v>
      </c>
      <c r="B190" t="s">
        <v>8</v>
      </c>
      <c r="C190">
        <v>542</v>
      </c>
      <c r="D190">
        <v>21166</v>
      </c>
      <c r="E190" s="106">
        <v>193.4</v>
      </c>
      <c r="F190" s="106">
        <v>32.880000000000003</v>
      </c>
      <c r="G190" s="1">
        <v>226.28</v>
      </c>
      <c r="H190" s="154">
        <v>44321</v>
      </c>
    </row>
    <row r="191" spans="1:8">
      <c r="A191" t="s">
        <v>9</v>
      </c>
      <c r="B191" t="s">
        <v>15</v>
      </c>
      <c r="C191">
        <v>543</v>
      </c>
      <c r="D191">
        <v>21167</v>
      </c>
      <c r="E191" s="106">
        <v>48</v>
      </c>
      <c r="F191" s="106">
        <v>8.16</v>
      </c>
      <c r="G191" s="106">
        <v>56.16</v>
      </c>
      <c r="H191" s="154">
        <v>44321</v>
      </c>
    </row>
    <row r="192" spans="1:8">
      <c r="A192" t="s">
        <v>17</v>
      </c>
      <c r="B192" t="s">
        <v>16</v>
      </c>
      <c r="C192">
        <v>544</v>
      </c>
      <c r="D192">
        <v>21168</v>
      </c>
      <c r="E192" s="106">
        <v>90.3</v>
      </c>
      <c r="F192" s="106">
        <v>15.35</v>
      </c>
      <c r="G192" s="106">
        <v>105.65</v>
      </c>
      <c r="H192" s="154">
        <v>44321</v>
      </c>
    </row>
    <row r="193" spans="1:8">
      <c r="A193" t="s">
        <v>17</v>
      </c>
      <c r="B193" t="s">
        <v>20</v>
      </c>
      <c r="C193">
        <v>545</v>
      </c>
      <c r="D193">
        <v>21169</v>
      </c>
      <c r="E193" s="106">
        <v>31.2</v>
      </c>
      <c r="F193" s="106">
        <v>5.3</v>
      </c>
      <c r="G193" s="106">
        <v>36.5</v>
      </c>
      <c r="H193" s="154">
        <v>44321</v>
      </c>
    </row>
    <row r="194" spans="1:8">
      <c r="A194" t="s">
        <v>17</v>
      </c>
      <c r="B194" t="s">
        <v>21</v>
      </c>
      <c r="C194">
        <v>546</v>
      </c>
      <c r="D194">
        <v>21170</v>
      </c>
      <c r="E194" s="106">
        <v>26.5</v>
      </c>
      <c r="F194" s="106">
        <v>4.51</v>
      </c>
      <c r="G194" s="106">
        <v>31.01</v>
      </c>
      <c r="H194" s="154">
        <v>44321</v>
      </c>
    </row>
    <row r="195" spans="1:8">
      <c r="A195" t="s">
        <v>17</v>
      </c>
      <c r="B195" t="s">
        <v>79</v>
      </c>
      <c r="C195">
        <v>547</v>
      </c>
      <c r="D195">
        <v>21171</v>
      </c>
      <c r="E195" s="106">
        <v>110.7</v>
      </c>
      <c r="F195" s="106">
        <v>18.82</v>
      </c>
      <c r="G195" s="106">
        <v>129.52000000000001</v>
      </c>
      <c r="H195" s="154">
        <v>44321</v>
      </c>
    </row>
    <row r="196" spans="1:8">
      <c r="A196" t="s">
        <v>56</v>
      </c>
      <c r="B196" t="s">
        <v>55</v>
      </c>
      <c r="C196">
        <v>548</v>
      </c>
      <c r="D196">
        <v>21172</v>
      </c>
      <c r="E196" s="106">
        <v>25.6</v>
      </c>
      <c r="F196" s="106">
        <v>4.3499999999999996</v>
      </c>
      <c r="G196" s="106">
        <v>29.95</v>
      </c>
      <c r="H196" s="154">
        <v>44321</v>
      </c>
    </row>
    <row r="197" spans="1:8">
      <c r="A197" t="s">
        <v>71</v>
      </c>
      <c r="B197" t="s">
        <v>70</v>
      </c>
      <c r="C197">
        <v>549</v>
      </c>
      <c r="D197">
        <v>21173</v>
      </c>
      <c r="E197" s="106">
        <v>14</v>
      </c>
      <c r="F197" s="106">
        <v>2.38</v>
      </c>
      <c r="G197" s="106">
        <v>16.38</v>
      </c>
      <c r="H197" s="154">
        <v>44321</v>
      </c>
    </row>
    <row r="198" spans="1:8">
      <c r="A198" t="s">
        <v>40</v>
      </c>
      <c r="B198" t="s">
        <v>39</v>
      </c>
      <c r="C198">
        <v>550</v>
      </c>
      <c r="D198">
        <v>21174</v>
      </c>
      <c r="E198" s="106">
        <v>14</v>
      </c>
      <c r="F198" s="106">
        <v>2.38</v>
      </c>
      <c r="G198" s="106">
        <v>16.38</v>
      </c>
      <c r="H198" s="154">
        <v>44321</v>
      </c>
    </row>
    <row r="199" spans="1:8">
      <c r="A199" t="s">
        <v>85</v>
      </c>
      <c r="B199" t="s">
        <v>84</v>
      </c>
      <c r="C199">
        <v>552</v>
      </c>
      <c r="D199">
        <v>21175</v>
      </c>
      <c r="E199" s="106">
        <v>22</v>
      </c>
      <c r="F199" s="106">
        <v>3.74</v>
      </c>
      <c r="G199" s="106">
        <v>25.74</v>
      </c>
      <c r="H199" s="154">
        <v>44321</v>
      </c>
    </row>
    <row r="200" spans="1:8">
      <c r="A200" t="s">
        <v>9</v>
      </c>
      <c r="B200" t="s">
        <v>8</v>
      </c>
      <c r="C200">
        <v>553</v>
      </c>
      <c r="D200">
        <v>21176</v>
      </c>
      <c r="E200" s="106">
        <v>262.89999999999998</v>
      </c>
      <c r="F200" s="106">
        <v>44.69</v>
      </c>
      <c r="G200" s="106">
        <v>307.58999999999997</v>
      </c>
      <c r="H200" s="154">
        <v>44327</v>
      </c>
    </row>
    <row r="201" spans="1:8">
      <c r="A201" t="s">
        <v>9</v>
      </c>
      <c r="B201" t="s">
        <v>15</v>
      </c>
      <c r="C201">
        <v>554</v>
      </c>
      <c r="D201">
        <v>21177</v>
      </c>
      <c r="E201" s="106">
        <v>40.5</v>
      </c>
      <c r="F201" s="106">
        <v>6.89</v>
      </c>
      <c r="G201" s="106">
        <v>47.39</v>
      </c>
      <c r="H201" s="154">
        <v>44327</v>
      </c>
    </row>
    <row r="202" spans="1:8">
      <c r="A202" t="s">
        <v>17</v>
      </c>
      <c r="B202" t="s">
        <v>16</v>
      </c>
      <c r="C202">
        <v>555</v>
      </c>
      <c r="D202">
        <v>21178</v>
      </c>
      <c r="E202" s="106">
        <v>51.7</v>
      </c>
      <c r="F202" s="106">
        <v>8.7899999999999991</v>
      </c>
      <c r="G202" s="106">
        <v>60.49</v>
      </c>
      <c r="H202" s="154">
        <v>44327</v>
      </c>
    </row>
    <row r="203" spans="1:8">
      <c r="A203" t="s">
        <v>17</v>
      </c>
      <c r="B203" t="s">
        <v>20</v>
      </c>
      <c r="C203">
        <v>556</v>
      </c>
      <c r="D203">
        <v>21179</v>
      </c>
      <c r="E203" s="106">
        <v>5.3</v>
      </c>
      <c r="F203" s="106">
        <v>0.9</v>
      </c>
      <c r="G203" s="1">
        <v>6.2</v>
      </c>
      <c r="H203" s="154">
        <v>44327</v>
      </c>
    </row>
    <row r="204" spans="1:8">
      <c r="A204" t="s">
        <v>17</v>
      </c>
      <c r="B204" t="s">
        <v>21</v>
      </c>
      <c r="C204">
        <v>557</v>
      </c>
      <c r="D204">
        <v>21180</v>
      </c>
      <c r="E204" s="106">
        <v>37.700000000000003</v>
      </c>
      <c r="F204" s="106">
        <v>6.41</v>
      </c>
      <c r="G204" s="106">
        <v>44.11</v>
      </c>
      <c r="H204" s="154">
        <v>44327</v>
      </c>
    </row>
    <row r="205" spans="1:8">
      <c r="A205" t="s">
        <v>17</v>
      </c>
      <c r="B205" t="s">
        <v>79</v>
      </c>
      <c r="C205">
        <v>558</v>
      </c>
      <c r="D205">
        <v>21181</v>
      </c>
      <c r="E205" s="106">
        <v>103.8</v>
      </c>
      <c r="F205" s="106">
        <v>17.649999999999999</v>
      </c>
      <c r="G205" s="106">
        <v>121.45</v>
      </c>
      <c r="H205" s="154">
        <v>44327</v>
      </c>
    </row>
    <row r="206" spans="1:8">
      <c r="A206" t="s">
        <v>56</v>
      </c>
      <c r="B206" t="s">
        <v>55</v>
      </c>
      <c r="C206">
        <v>559</v>
      </c>
      <c r="D206">
        <v>21182</v>
      </c>
      <c r="E206" s="106">
        <v>33.6</v>
      </c>
      <c r="F206" s="106">
        <v>5.71</v>
      </c>
      <c r="G206" s="106">
        <v>39.31</v>
      </c>
      <c r="H206" s="154">
        <v>44327</v>
      </c>
    </row>
    <row r="207" spans="1:8">
      <c r="A207" t="s">
        <v>71</v>
      </c>
      <c r="B207" t="s">
        <v>70</v>
      </c>
      <c r="C207">
        <v>560</v>
      </c>
      <c r="D207">
        <v>21183</v>
      </c>
      <c r="E207" s="106">
        <v>14</v>
      </c>
      <c r="F207" s="106">
        <v>2.38</v>
      </c>
      <c r="G207" s="106">
        <v>16.38</v>
      </c>
      <c r="H207" s="154">
        <v>44327</v>
      </c>
    </row>
    <row r="208" spans="1:8">
      <c r="A208" t="s">
        <v>40</v>
      </c>
      <c r="B208" t="s">
        <v>39</v>
      </c>
      <c r="C208">
        <v>564</v>
      </c>
      <c r="D208">
        <v>21184</v>
      </c>
      <c r="E208" s="106">
        <v>14</v>
      </c>
      <c r="F208" s="106">
        <v>2.38</v>
      </c>
      <c r="G208" s="106">
        <v>16.38</v>
      </c>
      <c r="H208" s="154">
        <v>44327</v>
      </c>
    </row>
    <row r="209" spans="1:8">
      <c r="A209" t="s">
        <v>85</v>
      </c>
      <c r="B209" t="s">
        <v>84</v>
      </c>
      <c r="C209">
        <v>562</v>
      </c>
      <c r="D209">
        <v>21185</v>
      </c>
      <c r="E209" s="106">
        <v>14</v>
      </c>
      <c r="F209" s="106">
        <v>2.38</v>
      </c>
      <c r="G209" s="106">
        <v>16.38</v>
      </c>
      <c r="H209" s="154">
        <v>44327</v>
      </c>
    </row>
    <row r="210" spans="1:8">
      <c r="A210" t="s">
        <v>76</v>
      </c>
      <c r="B210" t="s">
        <v>75</v>
      </c>
      <c r="C210">
        <v>564</v>
      </c>
      <c r="D210">
        <v>21186</v>
      </c>
      <c r="E210" s="106">
        <v>56</v>
      </c>
      <c r="F210" s="106">
        <v>9.52</v>
      </c>
      <c r="G210" s="106">
        <v>65.52</v>
      </c>
      <c r="H210" s="154">
        <v>44327</v>
      </c>
    </row>
    <row r="211" spans="1:8">
      <c r="A211" t="s">
        <v>9</v>
      </c>
      <c r="B211" t="s">
        <v>8</v>
      </c>
      <c r="C211">
        <v>565</v>
      </c>
      <c r="D211">
        <v>21187</v>
      </c>
      <c r="E211" s="106">
        <v>134</v>
      </c>
      <c r="F211" s="106">
        <v>22.78</v>
      </c>
      <c r="G211" s="106">
        <v>156.78</v>
      </c>
      <c r="H211" s="154">
        <v>44335</v>
      </c>
    </row>
    <row r="212" spans="1:8">
      <c r="A212" t="s">
        <v>9</v>
      </c>
      <c r="B212" t="s">
        <v>15</v>
      </c>
      <c r="C212">
        <v>566</v>
      </c>
      <c r="D212">
        <v>21188</v>
      </c>
      <c r="E212" s="106">
        <v>40.200000000000003</v>
      </c>
      <c r="F212" s="106">
        <v>6.83</v>
      </c>
      <c r="G212" s="106">
        <v>47.03</v>
      </c>
      <c r="H212" s="154">
        <v>44335</v>
      </c>
    </row>
    <row r="213" spans="1:8">
      <c r="A213" t="s">
        <v>17</v>
      </c>
      <c r="B213" t="s">
        <v>16</v>
      </c>
      <c r="C213">
        <v>567</v>
      </c>
      <c r="D213">
        <v>21189</v>
      </c>
      <c r="E213" s="106">
        <v>54.2</v>
      </c>
      <c r="F213" s="106">
        <v>9.2100000000000009</v>
      </c>
      <c r="G213" s="106">
        <v>63.41</v>
      </c>
      <c r="H213" s="154">
        <v>44335</v>
      </c>
    </row>
    <row r="214" spans="1:8">
      <c r="A214" t="s">
        <v>17</v>
      </c>
      <c r="B214" t="s">
        <v>20</v>
      </c>
      <c r="C214">
        <v>568</v>
      </c>
      <c r="D214">
        <v>21190</v>
      </c>
      <c r="E214" s="106">
        <v>55.8</v>
      </c>
      <c r="F214" s="106">
        <v>9.49</v>
      </c>
      <c r="G214" s="106">
        <v>65.290000000000006</v>
      </c>
      <c r="H214" s="154">
        <v>44335</v>
      </c>
    </row>
    <row r="215" spans="1:8">
      <c r="A215" t="s">
        <v>17</v>
      </c>
      <c r="B215" t="s">
        <v>21</v>
      </c>
      <c r="C215">
        <v>569</v>
      </c>
      <c r="D215">
        <v>21191</v>
      </c>
      <c r="E215" s="106">
        <v>26.8</v>
      </c>
      <c r="F215" s="106">
        <v>4.5599999999999996</v>
      </c>
      <c r="G215" s="106">
        <v>31.36</v>
      </c>
      <c r="H215" s="154">
        <v>44335</v>
      </c>
    </row>
    <row r="216" spans="1:8" ht="15.6">
      <c r="A216" t="s">
        <v>17</v>
      </c>
      <c r="B216" t="s">
        <v>79</v>
      </c>
      <c r="C216" s="125">
        <v>570</v>
      </c>
      <c r="D216" s="125">
        <v>21192</v>
      </c>
      <c r="E216" s="106">
        <v>118.1</v>
      </c>
      <c r="F216" s="106">
        <v>20.079999999999998</v>
      </c>
      <c r="G216" s="106">
        <v>138.18</v>
      </c>
      <c r="H216" s="154">
        <v>44335</v>
      </c>
    </row>
    <row r="217" spans="1:8">
      <c r="A217" t="s">
        <v>56</v>
      </c>
      <c r="B217" t="s">
        <v>55</v>
      </c>
      <c r="C217">
        <v>571</v>
      </c>
      <c r="D217">
        <v>21193</v>
      </c>
      <c r="E217">
        <v>22.4</v>
      </c>
      <c r="F217">
        <v>3.81</v>
      </c>
      <c r="G217">
        <v>26.21</v>
      </c>
      <c r="H217" s="154">
        <v>44335</v>
      </c>
    </row>
    <row r="218" spans="1:8">
      <c r="A218" s="115" t="s">
        <v>71</v>
      </c>
      <c r="B218" s="115" t="s">
        <v>70</v>
      </c>
      <c r="C218" s="115">
        <v>572</v>
      </c>
      <c r="D218" s="115">
        <v>21194</v>
      </c>
      <c r="E218" s="115">
        <v>14</v>
      </c>
      <c r="F218" s="115">
        <v>2.38</v>
      </c>
      <c r="G218" s="115">
        <v>16.38</v>
      </c>
      <c r="H218" s="159">
        <v>44335</v>
      </c>
    </row>
    <row r="219" spans="1:8">
      <c r="A219" s="115" t="s">
        <v>40</v>
      </c>
      <c r="B219" s="115" t="s">
        <v>39</v>
      </c>
      <c r="C219" s="115">
        <v>573</v>
      </c>
      <c r="D219" s="116">
        <v>21195</v>
      </c>
      <c r="E219" s="115">
        <v>10.5</v>
      </c>
      <c r="F219" s="115">
        <v>1.79</v>
      </c>
      <c r="G219" s="117">
        <v>12.29</v>
      </c>
      <c r="H219" s="159">
        <v>44335</v>
      </c>
    </row>
    <row r="220" spans="1:8">
      <c r="A220" t="s">
        <v>85</v>
      </c>
      <c r="B220" t="s">
        <v>84</v>
      </c>
      <c r="C220">
        <v>574</v>
      </c>
      <c r="D220">
        <v>21196</v>
      </c>
      <c r="E220">
        <v>21</v>
      </c>
      <c r="F220">
        <v>3.57</v>
      </c>
      <c r="G220">
        <v>24.57</v>
      </c>
      <c r="H220" s="154">
        <v>44335</v>
      </c>
    </row>
    <row r="221" spans="1:8">
      <c r="A221" t="s">
        <v>76</v>
      </c>
      <c r="B221" t="s">
        <v>75</v>
      </c>
      <c r="C221">
        <v>575</v>
      </c>
      <c r="D221">
        <v>21197</v>
      </c>
      <c r="E221">
        <v>56</v>
      </c>
      <c r="F221">
        <v>9.52</v>
      </c>
      <c r="G221">
        <v>65.52</v>
      </c>
      <c r="H221" s="154">
        <v>44335</v>
      </c>
    </row>
    <row r="222" spans="1:8">
      <c r="A222" t="s">
        <v>93</v>
      </c>
      <c r="B222" t="s">
        <v>92</v>
      </c>
      <c r="C222">
        <v>576</v>
      </c>
      <c r="D222">
        <v>21198</v>
      </c>
      <c r="E222">
        <v>21</v>
      </c>
      <c r="F222">
        <v>3.57</v>
      </c>
      <c r="G222">
        <v>24.57</v>
      </c>
      <c r="H222" s="154">
        <v>44335</v>
      </c>
    </row>
    <row r="223" spans="1:8">
      <c r="A223" t="s">
        <v>9</v>
      </c>
      <c r="B223" t="s">
        <v>8</v>
      </c>
      <c r="C223">
        <v>577</v>
      </c>
      <c r="D223">
        <v>21199</v>
      </c>
      <c r="E223">
        <v>95.2</v>
      </c>
      <c r="F223">
        <v>16.18</v>
      </c>
      <c r="G223">
        <v>111.38</v>
      </c>
      <c r="H223" s="154">
        <v>44342</v>
      </c>
    </row>
    <row r="224" spans="1:8">
      <c r="A224" t="s">
        <v>9</v>
      </c>
      <c r="B224" t="s">
        <v>15</v>
      </c>
      <c r="C224">
        <v>578</v>
      </c>
      <c r="D224">
        <v>21200</v>
      </c>
      <c r="E224">
        <v>24.3</v>
      </c>
      <c r="F224">
        <v>4.13</v>
      </c>
      <c r="G224">
        <v>28.43</v>
      </c>
      <c r="H224" s="154">
        <v>44342</v>
      </c>
    </row>
    <row r="225" spans="1:8">
      <c r="A225" t="s">
        <v>17</v>
      </c>
      <c r="B225" t="s">
        <v>16</v>
      </c>
      <c r="C225">
        <v>579</v>
      </c>
      <c r="D225">
        <v>21201</v>
      </c>
      <c r="E225">
        <v>32.4</v>
      </c>
      <c r="F225">
        <v>5.51</v>
      </c>
      <c r="G225">
        <v>37.909999999999997</v>
      </c>
      <c r="H225" s="154">
        <v>44342</v>
      </c>
    </row>
    <row r="226" spans="1:8">
      <c r="A226" t="s">
        <v>17</v>
      </c>
      <c r="B226" t="s">
        <v>20</v>
      </c>
      <c r="C226">
        <v>580</v>
      </c>
      <c r="D226">
        <v>21202</v>
      </c>
      <c r="E226">
        <v>13.7</v>
      </c>
      <c r="F226">
        <v>2.33</v>
      </c>
      <c r="G226">
        <v>16.03</v>
      </c>
      <c r="H226" s="154">
        <v>44342</v>
      </c>
    </row>
    <row r="227" spans="1:8">
      <c r="A227" t="s">
        <v>17</v>
      </c>
      <c r="B227" t="s">
        <v>21</v>
      </c>
      <c r="C227">
        <v>581</v>
      </c>
      <c r="D227">
        <v>21203</v>
      </c>
      <c r="E227">
        <v>15</v>
      </c>
      <c r="F227">
        <v>2.5499999999999998</v>
      </c>
      <c r="G227">
        <v>17.55</v>
      </c>
      <c r="H227" s="154">
        <v>44342</v>
      </c>
    </row>
    <row r="228" spans="1:8">
      <c r="A228" t="s">
        <v>17</v>
      </c>
      <c r="B228" t="s">
        <v>79</v>
      </c>
      <c r="C228">
        <v>582</v>
      </c>
      <c r="D228">
        <v>21204</v>
      </c>
      <c r="E228">
        <v>111.3</v>
      </c>
      <c r="F228">
        <v>18.920000000000002</v>
      </c>
      <c r="G228">
        <v>130.22</v>
      </c>
      <c r="H228" s="154">
        <v>44342</v>
      </c>
    </row>
    <row r="229" spans="1:8">
      <c r="A229" t="s">
        <v>56</v>
      </c>
      <c r="B229" t="s">
        <v>55</v>
      </c>
      <c r="C229">
        <v>583</v>
      </c>
      <c r="D229">
        <v>21205</v>
      </c>
      <c r="E229">
        <v>22.8</v>
      </c>
      <c r="F229">
        <v>3.88</v>
      </c>
      <c r="G229">
        <v>26.68</v>
      </c>
      <c r="H229" s="154">
        <v>44342</v>
      </c>
    </row>
    <row r="230" spans="1:8">
      <c r="A230" t="s">
        <v>71</v>
      </c>
      <c r="B230" t="s">
        <v>70</v>
      </c>
      <c r="C230">
        <v>584</v>
      </c>
      <c r="D230">
        <v>21206</v>
      </c>
      <c r="E230">
        <v>14.5</v>
      </c>
      <c r="F230">
        <v>2.4700000000000002</v>
      </c>
      <c r="G230">
        <v>16.97</v>
      </c>
      <c r="H230" s="154">
        <v>44342</v>
      </c>
    </row>
    <row r="231" spans="1:8">
      <c r="A231" t="s">
        <v>40</v>
      </c>
      <c r="B231" t="s">
        <v>39</v>
      </c>
      <c r="C231">
        <v>585</v>
      </c>
      <c r="D231">
        <v>21207</v>
      </c>
      <c r="E231">
        <v>17.5</v>
      </c>
      <c r="F231">
        <v>2.98</v>
      </c>
      <c r="G231">
        <v>20.48</v>
      </c>
      <c r="H231" s="154">
        <v>44342</v>
      </c>
    </row>
    <row r="232" spans="1:8">
      <c r="A232" t="s">
        <v>85</v>
      </c>
      <c r="B232" t="s">
        <v>84</v>
      </c>
      <c r="C232">
        <v>586</v>
      </c>
      <c r="D232">
        <v>21208</v>
      </c>
      <c r="E232">
        <v>22</v>
      </c>
      <c r="F232">
        <v>3.74</v>
      </c>
      <c r="G232">
        <v>25.74</v>
      </c>
      <c r="H232" s="154">
        <v>44342</v>
      </c>
    </row>
    <row r="233" spans="1:8">
      <c r="A233" t="s">
        <v>76</v>
      </c>
      <c r="B233" t="s">
        <v>75</v>
      </c>
      <c r="C233">
        <v>587</v>
      </c>
      <c r="D233">
        <v>21209</v>
      </c>
      <c r="E233">
        <v>58</v>
      </c>
      <c r="F233">
        <v>9.86</v>
      </c>
      <c r="G233">
        <v>67.86</v>
      </c>
      <c r="H233" s="154">
        <v>44342</v>
      </c>
    </row>
    <row r="234" spans="1:8">
      <c r="A234" t="s">
        <v>93</v>
      </c>
      <c r="B234" t="s">
        <v>92</v>
      </c>
      <c r="C234">
        <v>588</v>
      </c>
      <c r="D234">
        <v>21210</v>
      </c>
      <c r="E234">
        <v>43</v>
      </c>
      <c r="F234">
        <v>7.31</v>
      </c>
      <c r="G234">
        <v>50.31</v>
      </c>
      <c r="H234" s="154">
        <v>44342</v>
      </c>
    </row>
    <row r="235" spans="1:8">
      <c r="A235" t="s">
        <v>95</v>
      </c>
      <c r="B235" t="s">
        <v>94</v>
      </c>
      <c r="C235">
        <v>589</v>
      </c>
      <c r="D235">
        <v>21211</v>
      </c>
      <c r="E235">
        <v>1289.8</v>
      </c>
      <c r="F235">
        <v>219.27</v>
      </c>
      <c r="G235">
        <v>1509.07</v>
      </c>
      <c r="H235" s="154">
        <v>44346</v>
      </c>
    </row>
    <row r="236" spans="1:8">
      <c r="E236" s="106">
        <f>SUM(E190:E235)</f>
        <v>3542.7</v>
      </c>
      <c r="F236" s="106">
        <f>SUM(F190:F235)</f>
        <v>602.29000000000008</v>
      </c>
      <c r="G236"/>
    </row>
    <row r="237" spans="1:8">
      <c r="B237" s="3"/>
      <c r="G237"/>
    </row>
    <row r="238" spans="1:8">
      <c r="B238" s="3"/>
      <c r="G238"/>
    </row>
    <row r="239" spans="1:8">
      <c r="B239" s="3"/>
      <c r="G239"/>
    </row>
    <row r="240" spans="1:8">
      <c r="B240" s="3"/>
      <c r="G240"/>
    </row>
    <row r="241" spans="1:8">
      <c r="B241" s="3"/>
      <c r="G241"/>
    </row>
    <row r="242" spans="1:8">
      <c r="A242" t="s">
        <v>9</v>
      </c>
      <c r="B242" s="3" t="s">
        <v>8</v>
      </c>
      <c r="C242">
        <v>590</v>
      </c>
      <c r="D242">
        <v>21212</v>
      </c>
      <c r="E242">
        <v>98.7</v>
      </c>
      <c r="F242">
        <v>16.78</v>
      </c>
      <c r="G242">
        <v>115.48</v>
      </c>
      <c r="H242" s="154">
        <v>44349</v>
      </c>
    </row>
    <row r="243" spans="1:8">
      <c r="A243" t="s">
        <v>9</v>
      </c>
      <c r="B243" s="3" t="s">
        <v>15</v>
      </c>
      <c r="C243">
        <v>591</v>
      </c>
      <c r="D243">
        <v>21213</v>
      </c>
      <c r="E243">
        <v>56.4</v>
      </c>
      <c r="F243">
        <v>9.59</v>
      </c>
      <c r="G243">
        <v>65.989999999999995</v>
      </c>
      <c r="H243" s="154">
        <v>44349</v>
      </c>
    </row>
    <row r="244" spans="1:8">
      <c r="A244" t="s">
        <v>17</v>
      </c>
      <c r="B244" s="3" t="s">
        <v>16</v>
      </c>
      <c r="C244">
        <v>592</v>
      </c>
      <c r="D244">
        <v>21214</v>
      </c>
      <c r="E244">
        <v>80.400000000000006</v>
      </c>
      <c r="F244">
        <v>13.67</v>
      </c>
      <c r="G244">
        <v>94.07</v>
      </c>
      <c r="H244" s="154">
        <v>44349</v>
      </c>
    </row>
    <row r="245" spans="1:8">
      <c r="A245" t="s">
        <v>17</v>
      </c>
      <c r="B245" s="3" t="s">
        <v>20</v>
      </c>
      <c r="C245">
        <v>593</v>
      </c>
      <c r="D245">
        <v>21215</v>
      </c>
      <c r="E245">
        <v>40.799999999999997</v>
      </c>
      <c r="F245">
        <v>6.94</v>
      </c>
      <c r="G245">
        <v>47.74</v>
      </c>
      <c r="H245" s="154">
        <v>44349</v>
      </c>
    </row>
    <row r="246" spans="1:8">
      <c r="A246" t="s">
        <v>17</v>
      </c>
      <c r="B246" s="3" t="s">
        <v>21</v>
      </c>
      <c r="C246">
        <v>594</v>
      </c>
      <c r="D246">
        <v>21216</v>
      </c>
      <c r="E246">
        <v>26.5</v>
      </c>
      <c r="F246">
        <v>4.51</v>
      </c>
      <c r="G246">
        <v>31.01</v>
      </c>
      <c r="H246" s="154">
        <v>44349</v>
      </c>
    </row>
    <row r="247" spans="1:8">
      <c r="A247" t="s">
        <v>17</v>
      </c>
      <c r="B247" s="3" t="s">
        <v>79</v>
      </c>
      <c r="C247">
        <v>595</v>
      </c>
      <c r="D247">
        <v>21217</v>
      </c>
      <c r="E247">
        <v>65.8</v>
      </c>
      <c r="F247">
        <v>11.19</v>
      </c>
      <c r="G247">
        <v>76.989999999999995</v>
      </c>
      <c r="H247" s="154">
        <v>44349</v>
      </c>
    </row>
    <row r="248" spans="1:8">
      <c r="A248" t="s">
        <v>56</v>
      </c>
      <c r="B248" s="3" t="s">
        <v>55</v>
      </c>
      <c r="C248">
        <v>596</v>
      </c>
      <c r="D248">
        <v>21218</v>
      </c>
      <c r="E248">
        <v>22.8</v>
      </c>
      <c r="F248">
        <v>3.88</v>
      </c>
      <c r="G248">
        <v>26.68</v>
      </c>
      <c r="H248" s="154">
        <v>44349</v>
      </c>
    </row>
    <row r="249" spans="1:8">
      <c r="A249" t="s">
        <v>71</v>
      </c>
      <c r="B249" s="3" t="s">
        <v>70</v>
      </c>
      <c r="C249">
        <v>597</v>
      </c>
      <c r="D249">
        <v>21219</v>
      </c>
      <c r="E249">
        <v>14.5</v>
      </c>
      <c r="F249">
        <v>2.4700000000000002</v>
      </c>
      <c r="G249">
        <v>16.97</v>
      </c>
      <c r="H249" s="154">
        <v>44349</v>
      </c>
    </row>
    <row r="250" spans="1:8">
      <c r="A250" t="s">
        <v>40</v>
      </c>
      <c r="B250" s="3" t="s">
        <v>39</v>
      </c>
      <c r="C250">
        <v>598</v>
      </c>
      <c r="D250">
        <v>21220</v>
      </c>
      <c r="E250">
        <v>14</v>
      </c>
      <c r="F250">
        <v>2.38</v>
      </c>
      <c r="G250">
        <v>16.38</v>
      </c>
      <c r="H250" s="154">
        <v>44349</v>
      </c>
    </row>
    <row r="251" spans="1:8">
      <c r="A251" t="s">
        <v>85</v>
      </c>
      <c r="B251" s="3" t="s">
        <v>84</v>
      </c>
      <c r="C251">
        <v>599</v>
      </c>
      <c r="D251">
        <v>21221</v>
      </c>
      <c r="E251">
        <v>22</v>
      </c>
      <c r="F251">
        <v>3.74</v>
      </c>
      <c r="G251">
        <v>25.74</v>
      </c>
      <c r="H251" s="154">
        <v>44349</v>
      </c>
    </row>
    <row r="252" spans="1:8">
      <c r="A252" t="s">
        <v>76</v>
      </c>
      <c r="B252" s="3" t="s">
        <v>75</v>
      </c>
      <c r="C252">
        <v>600</v>
      </c>
      <c r="D252">
        <v>21222</v>
      </c>
      <c r="E252">
        <v>58</v>
      </c>
      <c r="F252">
        <v>9.86</v>
      </c>
      <c r="G252">
        <v>67.86</v>
      </c>
      <c r="H252" s="154">
        <v>44349</v>
      </c>
    </row>
    <row r="253" spans="1:8">
      <c r="A253" t="s">
        <v>93</v>
      </c>
      <c r="B253" s="3" t="s">
        <v>92</v>
      </c>
      <c r="C253">
        <v>601</v>
      </c>
      <c r="D253">
        <v>21223</v>
      </c>
      <c r="E253">
        <v>43</v>
      </c>
      <c r="F253">
        <v>7.31</v>
      </c>
      <c r="G253">
        <v>50.31</v>
      </c>
      <c r="H253" s="154">
        <v>44349</v>
      </c>
    </row>
    <row r="254" spans="1:8">
      <c r="A254" s="161" t="s">
        <v>97</v>
      </c>
      <c r="B254" s="165" t="s">
        <v>96</v>
      </c>
      <c r="C254" s="161">
        <v>602</v>
      </c>
      <c r="D254" s="161">
        <v>21224</v>
      </c>
      <c r="E254" s="161">
        <v>48</v>
      </c>
      <c r="F254" s="161">
        <v>8.16</v>
      </c>
      <c r="G254" s="161">
        <v>56.16</v>
      </c>
      <c r="H254" s="162">
        <v>44349</v>
      </c>
    </row>
    <row r="255" spans="1:8">
      <c r="A255" s="161" t="s">
        <v>9</v>
      </c>
      <c r="B255" s="165" t="s">
        <v>8</v>
      </c>
      <c r="C255" s="161">
        <v>603</v>
      </c>
      <c r="D255" s="161">
        <v>21225</v>
      </c>
      <c r="E255" s="161">
        <v>203.4</v>
      </c>
      <c r="F255" s="161">
        <v>34.58</v>
      </c>
      <c r="G255" s="161">
        <v>237.98</v>
      </c>
      <c r="H255" s="162">
        <v>44356</v>
      </c>
    </row>
    <row r="256" spans="1:8">
      <c r="A256" s="161" t="s">
        <v>9</v>
      </c>
      <c r="B256" s="165" t="s">
        <v>15</v>
      </c>
      <c r="C256" s="161">
        <v>604</v>
      </c>
      <c r="D256" s="161">
        <v>21226</v>
      </c>
      <c r="E256" s="161">
        <v>56.7</v>
      </c>
      <c r="F256" s="161">
        <v>9.64</v>
      </c>
      <c r="G256" s="161">
        <v>66.34</v>
      </c>
      <c r="H256" s="162">
        <v>44356</v>
      </c>
    </row>
    <row r="257" spans="1:8">
      <c r="A257" s="161" t="s">
        <v>17</v>
      </c>
      <c r="B257" s="165" t="s">
        <v>16</v>
      </c>
      <c r="C257" s="161">
        <v>605</v>
      </c>
      <c r="D257" s="161">
        <v>21227</v>
      </c>
      <c r="E257" s="161">
        <v>91</v>
      </c>
      <c r="F257" s="161">
        <v>15.47</v>
      </c>
      <c r="G257" s="161">
        <v>106.47</v>
      </c>
      <c r="H257" s="162">
        <v>44356</v>
      </c>
    </row>
    <row r="258" spans="1:8">
      <c r="A258" s="161" t="s">
        <v>17</v>
      </c>
      <c r="B258" s="165" t="s">
        <v>20</v>
      </c>
      <c r="C258" s="161">
        <v>606</v>
      </c>
      <c r="D258" s="161">
        <v>21228</v>
      </c>
      <c r="E258" s="164">
        <v>58.6</v>
      </c>
      <c r="F258" s="164">
        <v>9.9600000000000009</v>
      </c>
      <c r="G258" s="164">
        <v>68.56</v>
      </c>
      <c r="H258" s="162">
        <v>44356</v>
      </c>
    </row>
    <row r="259" spans="1:8">
      <c r="A259" s="161" t="s">
        <v>17</v>
      </c>
      <c r="B259" s="165" t="s">
        <v>21</v>
      </c>
      <c r="C259" s="161">
        <v>607</v>
      </c>
      <c r="D259" s="161">
        <v>21229</v>
      </c>
      <c r="E259" s="161">
        <v>19</v>
      </c>
      <c r="F259" s="161">
        <v>3.23</v>
      </c>
      <c r="G259" s="161">
        <v>22.23</v>
      </c>
      <c r="H259" s="162">
        <v>44356</v>
      </c>
    </row>
    <row r="260" spans="1:8">
      <c r="A260" s="161" t="s">
        <v>17</v>
      </c>
      <c r="B260" s="165" t="s">
        <v>79</v>
      </c>
      <c r="C260" s="161">
        <v>608</v>
      </c>
      <c r="D260" s="161">
        <v>21230</v>
      </c>
      <c r="E260" s="161">
        <v>126.5</v>
      </c>
      <c r="F260" s="161">
        <v>21.51</v>
      </c>
      <c r="G260" s="161">
        <v>148.01</v>
      </c>
      <c r="H260" s="162">
        <v>44356</v>
      </c>
    </row>
    <row r="261" spans="1:8">
      <c r="A261" s="161" t="s">
        <v>56</v>
      </c>
      <c r="B261" s="165" t="s">
        <v>55</v>
      </c>
      <c r="C261" s="161">
        <v>609</v>
      </c>
      <c r="D261" s="163">
        <v>21231</v>
      </c>
      <c r="E261" s="161">
        <v>124.4</v>
      </c>
      <c r="F261" s="161">
        <v>21.15</v>
      </c>
      <c r="G261" s="164">
        <v>145.55000000000001</v>
      </c>
      <c r="H261" s="162">
        <v>44356</v>
      </c>
    </row>
    <row r="262" spans="1:8">
      <c r="A262" s="161" t="s">
        <v>71</v>
      </c>
      <c r="B262" s="165" t="s">
        <v>70</v>
      </c>
      <c r="C262" s="161">
        <v>610</v>
      </c>
      <c r="D262" s="161">
        <v>21232</v>
      </c>
      <c r="E262" s="161">
        <v>14.5</v>
      </c>
      <c r="F262" s="161">
        <v>2.4700000000000002</v>
      </c>
      <c r="G262" s="161">
        <v>16.97</v>
      </c>
      <c r="H262" s="162">
        <v>44356</v>
      </c>
    </row>
    <row r="263" spans="1:8">
      <c r="A263" s="161" t="s">
        <v>40</v>
      </c>
      <c r="B263" s="165" t="s">
        <v>39</v>
      </c>
      <c r="C263" s="161">
        <v>611</v>
      </c>
      <c r="D263" s="161">
        <v>21233</v>
      </c>
      <c r="E263" s="161">
        <v>24.5</v>
      </c>
      <c r="F263" s="161">
        <v>4.17</v>
      </c>
      <c r="G263" s="161">
        <v>28.67</v>
      </c>
      <c r="H263" s="162">
        <v>44356</v>
      </c>
    </row>
    <row r="264" spans="1:8">
      <c r="A264" s="161" t="s">
        <v>85</v>
      </c>
      <c r="B264" s="165" t="s">
        <v>84</v>
      </c>
      <c r="C264" s="161">
        <v>612</v>
      </c>
      <c r="D264" s="161">
        <v>21234</v>
      </c>
      <c r="E264" s="161">
        <v>22</v>
      </c>
      <c r="F264" s="161">
        <v>3.74</v>
      </c>
      <c r="G264" s="161">
        <v>25.74</v>
      </c>
      <c r="H264" s="162">
        <v>44356</v>
      </c>
    </row>
    <row r="265" spans="1:8">
      <c r="A265" t="s">
        <v>76</v>
      </c>
      <c r="B265" s="3" t="s">
        <v>75</v>
      </c>
      <c r="C265">
        <v>613</v>
      </c>
      <c r="D265">
        <v>21235</v>
      </c>
      <c r="E265">
        <v>58</v>
      </c>
      <c r="F265">
        <v>9.86</v>
      </c>
      <c r="G265">
        <v>67.86</v>
      </c>
      <c r="H265" s="154">
        <v>44356</v>
      </c>
    </row>
    <row r="266" spans="1:8">
      <c r="A266" t="s">
        <v>93</v>
      </c>
      <c r="B266" s="3" t="s">
        <v>92</v>
      </c>
      <c r="C266">
        <v>614</v>
      </c>
      <c r="D266">
        <v>21236</v>
      </c>
      <c r="E266">
        <v>50.5</v>
      </c>
      <c r="F266">
        <v>8.58</v>
      </c>
      <c r="G266">
        <v>59.08</v>
      </c>
      <c r="H266" s="154">
        <v>44356</v>
      </c>
    </row>
    <row r="267" spans="1:8">
      <c r="A267" t="s">
        <v>97</v>
      </c>
      <c r="B267" s="3" t="s">
        <v>96</v>
      </c>
      <c r="C267">
        <v>615</v>
      </c>
      <c r="D267">
        <v>21237</v>
      </c>
      <c r="E267">
        <v>78.5</v>
      </c>
      <c r="F267">
        <v>13.35</v>
      </c>
      <c r="G267">
        <v>91.85</v>
      </c>
      <c r="H267" s="154">
        <v>44356</v>
      </c>
    </row>
    <row r="268" spans="1:8">
      <c r="A268" t="s">
        <v>9</v>
      </c>
      <c r="B268" s="3" t="s">
        <v>8</v>
      </c>
      <c r="C268">
        <v>616</v>
      </c>
      <c r="D268">
        <v>21238</v>
      </c>
      <c r="E268" s="106">
        <v>157.5</v>
      </c>
      <c r="F268" s="106">
        <v>26.78</v>
      </c>
      <c r="G268" s="106">
        <v>184.28</v>
      </c>
      <c r="H268" s="154">
        <v>44363</v>
      </c>
    </row>
    <row r="269" spans="1:8">
      <c r="A269" t="s">
        <v>9</v>
      </c>
      <c r="B269" s="3" t="s">
        <v>15</v>
      </c>
      <c r="C269">
        <v>617</v>
      </c>
      <c r="D269">
        <v>21239</v>
      </c>
      <c r="E269">
        <v>54.8</v>
      </c>
      <c r="F269">
        <v>9.32</v>
      </c>
      <c r="G269">
        <v>64.12</v>
      </c>
      <c r="H269" s="154">
        <v>44363</v>
      </c>
    </row>
    <row r="270" spans="1:8">
      <c r="A270" t="s">
        <v>17</v>
      </c>
      <c r="B270" s="3" t="s">
        <v>16</v>
      </c>
      <c r="C270">
        <v>618</v>
      </c>
      <c r="D270">
        <v>21240</v>
      </c>
      <c r="E270">
        <v>95</v>
      </c>
      <c r="F270">
        <v>16.149999999999999</v>
      </c>
      <c r="G270">
        <v>111.15</v>
      </c>
      <c r="H270" s="154">
        <v>44363</v>
      </c>
    </row>
    <row r="271" spans="1:8">
      <c r="A271" t="s">
        <v>17</v>
      </c>
      <c r="B271" s="3" t="s">
        <v>20</v>
      </c>
      <c r="C271">
        <v>619</v>
      </c>
      <c r="D271">
        <v>21241</v>
      </c>
      <c r="E271">
        <v>90</v>
      </c>
      <c r="F271">
        <v>15.3</v>
      </c>
      <c r="G271">
        <v>105.3</v>
      </c>
      <c r="H271" s="154">
        <v>44363</v>
      </c>
    </row>
    <row r="272" spans="1:8">
      <c r="A272" t="s">
        <v>17</v>
      </c>
      <c r="B272" s="3" t="s">
        <v>21</v>
      </c>
      <c r="C272">
        <v>620</v>
      </c>
      <c r="D272">
        <v>21242</v>
      </c>
      <c r="E272">
        <v>32.700000000000003</v>
      </c>
      <c r="F272">
        <v>5.56</v>
      </c>
      <c r="G272">
        <v>38.26</v>
      </c>
      <c r="H272" s="154">
        <v>44363</v>
      </c>
    </row>
    <row r="273" spans="1:8">
      <c r="A273" t="s">
        <v>17</v>
      </c>
      <c r="B273" s="3" t="s">
        <v>79</v>
      </c>
      <c r="C273">
        <v>621</v>
      </c>
      <c r="D273">
        <v>21243</v>
      </c>
      <c r="E273">
        <v>116.2</v>
      </c>
      <c r="F273">
        <v>19.75</v>
      </c>
      <c r="G273">
        <v>135.94999999999999</v>
      </c>
      <c r="H273" s="154">
        <v>44363</v>
      </c>
    </row>
    <row r="274" spans="1:8">
      <c r="A274" t="s">
        <v>56</v>
      </c>
      <c r="B274" s="3" t="s">
        <v>55</v>
      </c>
      <c r="C274">
        <v>622</v>
      </c>
      <c r="D274">
        <v>21244</v>
      </c>
      <c r="E274">
        <v>81.900000000000006</v>
      </c>
      <c r="F274">
        <v>13.92</v>
      </c>
      <c r="G274">
        <v>95.82</v>
      </c>
      <c r="H274" s="154">
        <v>44363</v>
      </c>
    </row>
    <row r="275" spans="1:8">
      <c r="A275" t="s">
        <v>71</v>
      </c>
      <c r="B275" s="3" t="s">
        <v>70</v>
      </c>
      <c r="C275">
        <v>623</v>
      </c>
      <c r="D275">
        <v>21245</v>
      </c>
      <c r="E275">
        <v>14.5</v>
      </c>
      <c r="F275">
        <v>2.4700000000000002</v>
      </c>
      <c r="G275">
        <v>16.97</v>
      </c>
      <c r="H275" s="154">
        <v>44363</v>
      </c>
    </row>
    <row r="276" spans="1:8">
      <c r="A276" t="s">
        <v>40</v>
      </c>
      <c r="B276" s="3" t="s">
        <v>39</v>
      </c>
      <c r="C276">
        <v>624</v>
      </c>
      <c r="D276">
        <v>21246</v>
      </c>
      <c r="E276">
        <v>17.5</v>
      </c>
      <c r="F276">
        <v>2.98</v>
      </c>
      <c r="G276">
        <v>20.48</v>
      </c>
      <c r="H276" s="154">
        <v>44363</v>
      </c>
    </row>
    <row r="277" spans="1:8">
      <c r="A277" t="s">
        <v>85</v>
      </c>
      <c r="B277" s="3" t="s">
        <v>84</v>
      </c>
      <c r="C277">
        <v>625</v>
      </c>
      <c r="D277">
        <v>21247</v>
      </c>
      <c r="E277">
        <v>22</v>
      </c>
      <c r="F277">
        <v>3.74</v>
      </c>
      <c r="G277">
        <v>25.74</v>
      </c>
      <c r="H277" s="154">
        <v>44363</v>
      </c>
    </row>
    <row r="278" spans="1:8">
      <c r="A278" t="s">
        <v>76</v>
      </c>
      <c r="B278" s="3" t="s">
        <v>75</v>
      </c>
      <c r="C278">
        <v>626</v>
      </c>
      <c r="D278">
        <v>21248</v>
      </c>
      <c r="E278">
        <v>58</v>
      </c>
      <c r="F278">
        <v>9.86</v>
      </c>
      <c r="G278">
        <v>67.86</v>
      </c>
      <c r="H278" s="154">
        <v>44363</v>
      </c>
    </row>
    <row r="279" spans="1:8">
      <c r="A279" t="s">
        <v>93</v>
      </c>
      <c r="B279" s="3" t="s">
        <v>92</v>
      </c>
      <c r="C279">
        <v>627</v>
      </c>
      <c r="D279">
        <v>21249</v>
      </c>
      <c r="E279">
        <v>49.9</v>
      </c>
      <c r="F279">
        <v>8.48</v>
      </c>
      <c r="G279">
        <v>58.38</v>
      </c>
      <c r="H279" s="154">
        <v>44363</v>
      </c>
    </row>
    <row r="280" spans="1:8">
      <c r="A280" t="s">
        <v>97</v>
      </c>
      <c r="B280" s="3" t="s">
        <v>96</v>
      </c>
      <c r="C280">
        <v>628</v>
      </c>
      <c r="D280">
        <v>21250</v>
      </c>
      <c r="E280">
        <v>78.5</v>
      </c>
      <c r="F280">
        <v>13.35</v>
      </c>
      <c r="G280">
        <v>91.85</v>
      </c>
      <c r="H280" s="154">
        <v>44363</v>
      </c>
    </row>
    <row r="281" spans="1:8">
      <c r="A281" t="s">
        <v>9</v>
      </c>
      <c r="B281" s="3" t="s">
        <v>8</v>
      </c>
      <c r="C281">
        <v>629</v>
      </c>
      <c r="D281">
        <v>21251</v>
      </c>
      <c r="E281">
        <v>136.80000000000001</v>
      </c>
      <c r="F281">
        <v>23.26</v>
      </c>
      <c r="G281">
        <v>160.06</v>
      </c>
      <c r="H281" s="154">
        <v>44370</v>
      </c>
    </row>
    <row r="282" spans="1:8">
      <c r="A282" t="s">
        <v>9</v>
      </c>
      <c r="B282" s="3" t="s">
        <v>15</v>
      </c>
      <c r="C282">
        <v>630</v>
      </c>
      <c r="D282">
        <v>21252</v>
      </c>
      <c r="E282">
        <v>43.6</v>
      </c>
      <c r="F282">
        <v>7.41</v>
      </c>
      <c r="G282">
        <v>51.01</v>
      </c>
      <c r="H282" s="154">
        <v>44370</v>
      </c>
    </row>
    <row r="283" spans="1:8">
      <c r="A283" t="s">
        <v>17</v>
      </c>
      <c r="B283" s="3" t="s">
        <v>16</v>
      </c>
      <c r="C283">
        <v>631</v>
      </c>
      <c r="D283">
        <v>21253</v>
      </c>
      <c r="E283">
        <v>68.2</v>
      </c>
      <c r="F283">
        <v>11.59</v>
      </c>
      <c r="G283">
        <v>79.790000000000006</v>
      </c>
      <c r="H283" s="154">
        <v>44370</v>
      </c>
    </row>
    <row r="284" spans="1:8">
      <c r="A284" t="s">
        <v>17</v>
      </c>
      <c r="B284" s="3" t="s">
        <v>20</v>
      </c>
      <c r="C284">
        <v>632</v>
      </c>
      <c r="D284">
        <v>21254</v>
      </c>
      <c r="E284">
        <v>43.6</v>
      </c>
      <c r="F284">
        <v>7.41</v>
      </c>
      <c r="G284">
        <v>51.01</v>
      </c>
      <c r="H284" s="154">
        <v>44370</v>
      </c>
    </row>
    <row r="285" spans="1:8">
      <c r="A285" t="s">
        <v>17</v>
      </c>
      <c r="B285" s="3" t="s">
        <v>21</v>
      </c>
      <c r="C285">
        <v>633</v>
      </c>
      <c r="D285">
        <v>21255</v>
      </c>
      <c r="E285">
        <v>15.9</v>
      </c>
      <c r="F285">
        <v>2.7</v>
      </c>
      <c r="G285">
        <v>18.600000000000001</v>
      </c>
      <c r="H285" s="154">
        <v>44370</v>
      </c>
    </row>
    <row r="286" spans="1:8">
      <c r="A286" t="s">
        <v>17</v>
      </c>
      <c r="B286" s="3" t="s">
        <v>79</v>
      </c>
      <c r="C286">
        <v>634</v>
      </c>
      <c r="D286">
        <v>21256</v>
      </c>
      <c r="E286">
        <v>124.9</v>
      </c>
      <c r="F286">
        <v>21.23</v>
      </c>
      <c r="G286">
        <v>146.13</v>
      </c>
      <c r="H286" s="154">
        <v>44370</v>
      </c>
    </row>
    <row r="287" spans="1:8">
      <c r="A287" t="s">
        <v>56</v>
      </c>
      <c r="B287" s="3" t="s">
        <v>55</v>
      </c>
      <c r="C287">
        <v>635</v>
      </c>
      <c r="D287">
        <v>21257</v>
      </c>
      <c r="E287">
        <v>16.8</v>
      </c>
      <c r="F287">
        <v>2.86</v>
      </c>
      <c r="G287">
        <v>19.66</v>
      </c>
      <c r="H287" s="154">
        <v>44370</v>
      </c>
    </row>
    <row r="288" spans="1:8">
      <c r="A288" t="s">
        <v>71</v>
      </c>
      <c r="B288" s="3" t="s">
        <v>70</v>
      </c>
      <c r="C288">
        <v>636</v>
      </c>
      <c r="D288">
        <v>21258</v>
      </c>
      <c r="E288">
        <v>14.5</v>
      </c>
      <c r="F288">
        <v>2.4700000000000002</v>
      </c>
      <c r="G288">
        <v>16.97</v>
      </c>
      <c r="H288" s="154">
        <v>44370</v>
      </c>
    </row>
    <row r="289" spans="1:8">
      <c r="A289" t="s">
        <v>40</v>
      </c>
      <c r="B289" s="3" t="s">
        <v>39</v>
      </c>
      <c r="C289">
        <v>637</v>
      </c>
      <c r="D289">
        <v>21259</v>
      </c>
      <c r="E289">
        <v>28</v>
      </c>
      <c r="F289">
        <v>4.76</v>
      </c>
      <c r="G289">
        <v>32.76</v>
      </c>
      <c r="H289" s="154">
        <v>44370</v>
      </c>
    </row>
    <row r="290" spans="1:8">
      <c r="A290" t="s">
        <v>85</v>
      </c>
      <c r="B290" s="3" t="s">
        <v>84</v>
      </c>
      <c r="C290">
        <v>638</v>
      </c>
      <c r="D290">
        <v>21260</v>
      </c>
      <c r="E290">
        <v>22</v>
      </c>
      <c r="F290">
        <v>3.74</v>
      </c>
      <c r="G290">
        <v>25.74</v>
      </c>
      <c r="H290" s="154">
        <v>44370</v>
      </c>
    </row>
    <row r="291" spans="1:8">
      <c r="A291" t="s">
        <v>76</v>
      </c>
      <c r="B291" s="3" t="s">
        <v>75</v>
      </c>
      <c r="C291">
        <v>639</v>
      </c>
      <c r="D291">
        <v>21261</v>
      </c>
      <c r="E291">
        <v>65.099999999999994</v>
      </c>
      <c r="F291">
        <v>11.07</v>
      </c>
      <c r="G291">
        <v>76.17</v>
      </c>
      <c r="H291" s="154">
        <v>44370</v>
      </c>
    </row>
    <row r="292" spans="1:8">
      <c r="A292" t="s">
        <v>93</v>
      </c>
      <c r="B292" s="3" t="s">
        <v>92</v>
      </c>
      <c r="C292">
        <v>640</v>
      </c>
      <c r="D292">
        <v>21262</v>
      </c>
      <c r="E292">
        <v>49.9</v>
      </c>
      <c r="F292">
        <v>8.48</v>
      </c>
      <c r="G292" s="1">
        <v>58.38</v>
      </c>
      <c r="H292" s="154">
        <v>44370</v>
      </c>
    </row>
    <row r="293" spans="1:8">
      <c r="A293" t="s">
        <v>97</v>
      </c>
      <c r="B293" s="3" t="s">
        <v>96</v>
      </c>
      <c r="C293">
        <v>641</v>
      </c>
      <c r="D293">
        <v>21263</v>
      </c>
      <c r="E293">
        <v>39.5</v>
      </c>
      <c r="F293">
        <v>6.72</v>
      </c>
      <c r="G293">
        <v>46.22</v>
      </c>
      <c r="H293" s="154">
        <v>44370</v>
      </c>
    </row>
    <row r="294" spans="1:8">
      <c r="A294" t="s">
        <v>56</v>
      </c>
      <c r="B294" s="3" t="s">
        <v>55</v>
      </c>
      <c r="C294">
        <v>642</v>
      </c>
      <c r="D294">
        <v>21264</v>
      </c>
      <c r="E294">
        <v>22.8</v>
      </c>
      <c r="F294">
        <v>3.88</v>
      </c>
      <c r="G294">
        <v>26.68</v>
      </c>
      <c r="H294" s="154">
        <v>44370</v>
      </c>
    </row>
    <row r="295" spans="1:8">
      <c r="A295" t="s">
        <v>9</v>
      </c>
      <c r="B295" s="3" t="s">
        <v>8</v>
      </c>
      <c r="C295">
        <v>643</v>
      </c>
      <c r="D295">
        <v>21265</v>
      </c>
      <c r="E295">
        <v>136.5</v>
      </c>
      <c r="F295">
        <v>23.21</v>
      </c>
      <c r="G295">
        <v>159.71</v>
      </c>
      <c r="H295" s="154">
        <v>44377</v>
      </c>
    </row>
    <row r="296" spans="1:8">
      <c r="A296" t="s">
        <v>9</v>
      </c>
      <c r="B296" s="3" t="s">
        <v>15</v>
      </c>
      <c r="C296">
        <v>644</v>
      </c>
      <c r="D296">
        <v>21266</v>
      </c>
      <c r="E296">
        <v>12.8</v>
      </c>
      <c r="F296">
        <v>2.1800000000000002</v>
      </c>
      <c r="G296">
        <v>14.98</v>
      </c>
      <c r="H296" s="154">
        <v>44377</v>
      </c>
    </row>
    <row r="297" spans="1:8">
      <c r="A297" t="s">
        <v>17</v>
      </c>
      <c r="B297" s="3" t="s">
        <v>16</v>
      </c>
      <c r="C297">
        <v>645</v>
      </c>
      <c r="D297">
        <v>21267</v>
      </c>
      <c r="E297">
        <v>46.1</v>
      </c>
      <c r="F297">
        <v>7.84</v>
      </c>
      <c r="G297">
        <v>53.94</v>
      </c>
      <c r="H297" s="154">
        <v>44377</v>
      </c>
    </row>
    <row r="298" spans="1:8">
      <c r="A298" t="s">
        <v>17</v>
      </c>
      <c r="B298" s="3" t="s">
        <v>20</v>
      </c>
      <c r="C298">
        <v>646</v>
      </c>
      <c r="D298">
        <v>21268</v>
      </c>
      <c r="E298">
        <v>31.8</v>
      </c>
      <c r="F298">
        <v>5.41</v>
      </c>
      <c r="G298">
        <v>37.21</v>
      </c>
      <c r="H298" s="154">
        <v>44377</v>
      </c>
    </row>
    <row r="299" spans="1:8">
      <c r="A299" t="s">
        <v>17</v>
      </c>
      <c r="B299" s="3" t="s">
        <v>79</v>
      </c>
      <c r="C299">
        <v>647</v>
      </c>
      <c r="D299">
        <v>21269</v>
      </c>
      <c r="E299">
        <v>115.3</v>
      </c>
      <c r="F299">
        <v>19.600000000000001</v>
      </c>
      <c r="G299">
        <v>134.9</v>
      </c>
      <c r="H299" s="154">
        <v>44377</v>
      </c>
    </row>
    <row r="300" spans="1:8">
      <c r="A300" t="s">
        <v>56</v>
      </c>
      <c r="B300" s="3" t="s">
        <v>55</v>
      </c>
      <c r="C300">
        <v>648</v>
      </c>
      <c r="D300">
        <v>21270</v>
      </c>
      <c r="E300">
        <v>28.5</v>
      </c>
      <c r="F300">
        <v>4.8499999999999996</v>
      </c>
      <c r="G300">
        <v>33.35</v>
      </c>
      <c r="H300" s="154">
        <v>44377</v>
      </c>
    </row>
    <row r="301" spans="1:8">
      <c r="A301" t="s">
        <v>71</v>
      </c>
      <c r="B301" s="3" t="s">
        <v>70</v>
      </c>
      <c r="C301">
        <v>649</v>
      </c>
      <c r="D301">
        <v>21271</v>
      </c>
      <c r="E301">
        <v>14.5</v>
      </c>
      <c r="F301">
        <v>2.4700000000000002</v>
      </c>
      <c r="G301">
        <v>16.97</v>
      </c>
      <c r="H301" s="154">
        <v>44377</v>
      </c>
    </row>
    <row r="302" spans="1:8">
      <c r="A302" t="s">
        <v>40</v>
      </c>
      <c r="B302" s="3" t="s">
        <v>39</v>
      </c>
      <c r="C302">
        <v>650</v>
      </c>
      <c r="D302">
        <v>21272</v>
      </c>
      <c r="E302">
        <v>21</v>
      </c>
      <c r="F302">
        <v>3.57</v>
      </c>
      <c r="G302">
        <v>24.57</v>
      </c>
      <c r="H302" s="154">
        <v>44377</v>
      </c>
    </row>
    <row r="303" spans="1:8">
      <c r="A303" t="s">
        <v>85</v>
      </c>
      <c r="B303" s="3" t="s">
        <v>84</v>
      </c>
      <c r="C303">
        <v>651</v>
      </c>
      <c r="D303">
        <v>21273</v>
      </c>
      <c r="E303">
        <v>22</v>
      </c>
      <c r="F303">
        <v>3.74</v>
      </c>
      <c r="G303">
        <v>25.74</v>
      </c>
      <c r="H303" s="154">
        <v>44377</v>
      </c>
    </row>
    <row r="304" spans="1:8">
      <c r="A304" t="s">
        <v>76</v>
      </c>
      <c r="B304" s="3" t="s">
        <v>75</v>
      </c>
      <c r="C304">
        <v>652</v>
      </c>
      <c r="D304">
        <v>21274</v>
      </c>
      <c r="E304">
        <v>68.099999999999994</v>
      </c>
      <c r="F304">
        <v>11.58</v>
      </c>
      <c r="G304">
        <v>79.680000000000007</v>
      </c>
      <c r="H304" s="154">
        <v>44377</v>
      </c>
    </row>
    <row r="305" spans="1:8">
      <c r="A305" t="s">
        <v>93</v>
      </c>
      <c r="B305" s="3" t="s">
        <v>92</v>
      </c>
      <c r="C305">
        <v>653</v>
      </c>
      <c r="D305">
        <v>21275</v>
      </c>
      <c r="E305">
        <v>48.9</v>
      </c>
      <c r="F305">
        <v>8.31</v>
      </c>
      <c r="G305">
        <v>57.21</v>
      </c>
      <c r="H305" s="154">
        <v>44377</v>
      </c>
    </row>
    <row r="306" spans="1:8">
      <c r="A306" t="s">
        <v>97</v>
      </c>
      <c r="B306" s="3" t="s">
        <v>96</v>
      </c>
      <c r="C306">
        <v>654</v>
      </c>
      <c r="D306">
        <v>21276</v>
      </c>
      <c r="E306">
        <v>57.5</v>
      </c>
      <c r="F306">
        <v>9.77</v>
      </c>
      <c r="G306">
        <v>67.27</v>
      </c>
      <c r="H306" s="154">
        <v>44377</v>
      </c>
    </row>
    <row r="307" spans="1:8">
      <c r="B307" s="3"/>
      <c r="E307">
        <f>SUM(E242:E306)</f>
        <v>3681.6000000000013</v>
      </c>
      <c r="F307">
        <f>SUM(F242:F306)</f>
        <v>625.96000000000026</v>
      </c>
      <c r="G307"/>
    </row>
    <row r="308" spans="1:8">
      <c r="B308" s="3"/>
      <c r="G308"/>
    </row>
    <row r="309" spans="1:8">
      <c r="A309" s="161" t="s">
        <v>9</v>
      </c>
      <c r="B309" s="165" t="s">
        <v>8</v>
      </c>
      <c r="C309" s="161">
        <v>655</v>
      </c>
      <c r="D309" s="161">
        <v>21277</v>
      </c>
      <c r="E309" s="161">
        <v>157.9</v>
      </c>
      <c r="F309" s="161">
        <v>26.84</v>
      </c>
      <c r="G309" s="161">
        <v>184.74</v>
      </c>
      <c r="H309" s="162">
        <v>44384</v>
      </c>
    </row>
    <row r="310" spans="1:8">
      <c r="A310" s="161" t="s">
        <v>9</v>
      </c>
      <c r="B310" s="165" t="s">
        <v>15</v>
      </c>
      <c r="C310" s="161">
        <v>656</v>
      </c>
      <c r="D310" s="161">
        <v>21278</v>
      </c>
      <c r="E310" s="161">
        <v>43.3</v>
      </c>
      <c r="F310" s="161">
        <v>7.36</v>
      </c>
      <c r="G310" s="161">
        <v>50.66</v>
      </c>
      <c r="H310" s="162">
        <v>44384</v>
      </c>
    </row>
    <row r="311" spans="1:8">
      <c r="A311" s="161" t="s">
        <v>17</v>
      </c>
      <c r="B311" s="165" t="s">
        <v>16</v>
      </c>
      <c r="C311" s="161">
        <v>657</v>
      </c>
      <c r="D311" s="161">
        <v>21279</v>
      </c>
      <c r="E311" s="161">
        <v>46.7</v>
      </c>
      <c r="F311" s="161">
        <v>7.94</v>
      </c>
      <c r="G311" s="161">
        <v>54.64</v>
      </c>
      <c r="H311" s="162">
        <v>44384</v>
      </c>
    </row>
    <row r="312" spans="1:8">
      <c r="A312" s="161" t="s">
        <v>17</v>
      </c>
      <c r="B312" s="161" t="s">
        <v>20</v>
      </c>
      <c r="C312" s="161">
        <v>658</v>
      </c>
      <c r="D312" s="161">
        <v>21280</v>
      </c>
      <c r="E312" s="161">
        <v>38</v>
      </c>
      <c r="F312" s="161">
        <v>6.46</v>
      </c>
      <c r="G312" s="161">
        <v>44.46</v>
      </c>
      <c r="H312" s="162">
        <v>44384</v>
      </c>
    </row>
    <row r="313" spans="1:8">
      <c r="A313" s="161" t="s">
        <v>17</v>
      </c>
      <c r="B313" s="161" t="s">
        <v>79</v>
      </c>
      <c r="C313" s="161">
        <v>659</v>
      </c>
      <c r="D313" s="163">
        <v>21281</v>
      </c>
      <c r="E313" s="161">
        <v>58.3</v>
      </c>
      <c r="F313" s="161">
        <v>9.91</v>
      </c>
      <c r="G313" s="164">
        <v>68.209999999999994</v>
      </c>
      <c r="H313" s="162">
        <v>44384</v>
      </c>
    </row>
    <row r="314" spans="1:8">
      <c r="A314" s="161" t="s">
        <v>71</v>
      </c>
      <c r="B314" s="161" t="s">
        <v>70</v>
      </c>
      <c r="C314" s="161">
        <v>661</v>
      </c>
      <c r="D314" s="161">
        <v>21283</v>
      </c>
      <c r="E314" s="164">
        <v>18</v>
      </c>
      <c r="F314" s="164">
        <v>3.06</v>
      </c>
      <c r="G314" s="164">
        <v>21.06</v>
      </c>
      <c r="H314" s="162">
        <v>44384</v>
      </c>
    </row>
    <row r="315" spans="1:8">
      <c r="A315" s="161" t="s">
        <v>40</v>
      </c>
      <c r="B315" s="161" t="s">
        <v>39</v>
      </c>
      <c r="C315" s="161">
        <v>662</v>
      </c>
      <c r="D315" s="161">
        <v>21284</v>
      </c>
      <c r="E315" s="164">
        <v>17.5</v>
      </c>
      <c r="F315" s="164">
        <v>2.98</v>
      </c>
      <c r="G315" s="164">
        <v>20.48</v>
      </c>
      <c r="H315" s="162">
        <v>44384</v>
      </c>
    </row>
    <row r="316" spans="1:8">
      <c r="A316" s="161" t="s">
        <v>85</v>
      </c>
      <c r="B316" s="161" t="s">
        <v>84</v>
      </c>
      <c r="C316" s="161">
        <v>663</v>
      </c>
      <c r="D316" s="161">
        <v>21285</v>
      </c>
      <c r="E316" s="164">
        <v>22</v>
      </c>
      <c r="F316" s="164">
        <v>3.74</v>
      </c>
      <c r="G316" s="164">
        <v>25.74</v>
      </c>
      <c r="H316" s="162">
        <v>44384</v>
      </c>
    </row>
    <row r="317" spans="1:8">
      <c r="A317" s="161" t="s">
        <v>76</v>
      </c>
      <c r="B317" s="161" t="s">
        <v>75</v>
      </c>
      <c r="C317" s="161">
        <v>664</v>
      </c>
      <c r="D317" s="161">
        <v>21286</v>
      </c>
      <c r="E317" s="164">
        <v>72.099999999999994</v>
      </c>
      <c r="F317" s="164">
        <v>12.26</v>
      </c>
      <c r="G317" s="164">
        <v>84.36</v>
      </c>
      <c r="H317" s="162">
        <v>44384</v>
      </c>
    </row>
    <row r="318" spans="1:8">
      <c r="A318" s="161" t="s">
        <v>93</v>
      </c>
      <c r="B318" s="161" t="s">
        <v>92</v>
      </c>
      <c r="C318" s="161">
        <v>665</v>
      </c>
      <c r="D318" s="161">
        <v>21287</v>
      </c>
      <c r="E318" s="164">
        <v>49.9</v>
      </c>
      <c r="F318" s="164">
        <v>8.48</v>
      </c>
      <c r="G318" s="164">
        <v>58.38</v>
      </c>
      <c r="H318" s="162">
        <v>44384</v>
      </c>
    </row>
    <row r="319" spans="1:8">
      <c r="A319" s="161" t="s">
        <v>97</v>
      </c>
      <c r="B319" s="161" t="s">
        <v>96</v>
      </c>
      <c r="C319" s="161">
        <v>666</v>
      </c>
      <c r="D319" s="161">
        <v>21288</v>
      </c>
      <c r="E319" s="164">
        <v>39.5</v>
      </c>
      <c r="F319" s="164">
        <v>6.72</v>
      </c>
      <c r="G319" s="164">
        <v>46.22</v>
      </c>
      <c r="H319" s="162">
        <v>44384</v>
      </c>
    </row>
    <row r="320" spans="1:8">
      <c r="A320" s="161" t="s">
        <v>56</v>
      </c>
      <c r="B320" s="161" t="s">
        <v>55</v>
      </c>
      <c r="C320" s="161">
        <v>667</v>
      </c>
      <c r="D320" s="161">
        <v>21289</v>
      </c>
      <c r="E320" s="164">
        <v>22.4</v>
      </c>
      <c r="F320" s="164">
        <v>3.81</v>
      </c>
      <c r="G320" s="164">
        <v>26.21</v>
      </c>
      <c r="H320" s="162">
        <v>44384</v>
      </c>
    </row>
    <row r="321" spans="1:8">
      <c r="A321" s="161" t="s">
        <v>56</v>
      </c>
      <c r="B321" t="s">
        <v>55</v>
      </c>
      <c r="C321">
        <v>668</v>
      </c>
      <c r="D321">
        <v>21290</v>
      </c>
      <c r="E321" s="106">
        <v>25.6</v>
      </c>
      <c r="F321" s="106">
        <v>4.3499999999999996</v>
      </c>
      <c r="G321" s="106">
        <v>29.95</v>
      </c>
      <c r="H321" s="154">
        <v>44384</v>
      </c>
    </row>
    <row r="322" spans="1:8">
      <c r="A322" t="s">
        <v>9</v>
      </c>
      <c r="B322" t="s">
        <v>8</v>
      </c>
      <c r="C322">
        <v>669</v>
      </c>
      <c r="D322">
        <v>21291</v>
      </c>
      <c r="E322" s="106">
        <v>181.6</v>
      </c>
      <c r="F322" s="106">
        <v>30.87</v>
      </c>
      <c r="G322" s="106">
        <v>212.47</v>
      </c>
      <c r="H322" s="154">
        <v>44391</v>
      </c>
    </row>
    <row r="323" spans="1:8">
      <c r="A323" t="s">
        <v>9</v>
      </c>
      <c r="B323" t="s">
        <v>15</v>
      </c>
      <c r="C323">
        <v>670</v>
      </c>
      <c r="D323">
        <v>21292</v>
      </c>
      <c r="E323" s="106">
        <v>34.6</v>
      </c>
      <c r="F323" s="106">
        <v>5.88</v>
      </c>
      <c r="G323" s="106">
        <v>40.479999999999997</v>
      </c>
      <c r="H323" s="154">
        <v>44391</v>
      </c>
    </row>
    <row r="324" spans="1:8">
      <c r="A324" t="s">
        <v>17</v>
      </c>
      <c r="B324" t="s">
        <v>16</v>
      </c>
      <c r="C324">
        <v>671</v>
      </c>
      <c r="D324">
        <v>21293</v>
      </c>
      <c r="E324" s="106">
        <v>95</v>
      </c>
      <c r="F324" s="106">
        <v>16.149999999999999</v>
      </c>
      <c r="G324" s="106">
        <v>111.15</v>
      </c>
      <c r="H324" s="154">
        <v>44391</v>
      </c>
    </row>
    <row r="325" spans="1:8">
      <c r="A325" t="s">
        <v>17</v>
      </c>
      <c r="B325" t="s">
        <v>20</v>
      </c>
      <c r="C325">
        <v>672</v>
      </c>
      <c r="D325" s="113">
        <v>21294</v>
      </c>
      <c r="E325" s="106">
        <v>35.200000000000003</v>
      </c>
      <c r="F325" s="106">
        <v>5.98</v>
      </c>
      <c r="G325" s="106">
        <v>41.18</v>
      </c>
      <c r="H325" s="154">
        <v>44391</v>
      </c>
    </row>
    <row r="326" spans="1:8">
      <c r="A326" t="s">
        <v>17</v>
      </c>
      <c r="B326" t="s">
        <v>79</v>
      </c>
      <c r="C326">
        <v>673</v>
      </c>
      <c r="D326">
        <v>21295</v>
      </c>
      <c r="E326" s="106">
        <v>164.2</v>
      </c>
      <c r="F326" s="106">
        <v>27.91</v>
      </c>
      <c r="G326" s="106">
        <v>192.11</v>
      </c>
      <c r="H326" s="154">
        <v>44391</v>
      </c>
    </row>
    <row r="327" spans="1:8">
      <c r="A327" t="s">
        <v>56</v>
      </c>
      <c r="B327" t="s">
        <v>55</v>
      </c>
      <c r="C327">
        <v>674</v>
      </c>
      <c r="D327">
        <v>21296</v>
      </c>
      <c r="E327" s="106">
        <v>25.6</v>
      </c>
      <c r="F327" s="106">
        <v>4.3499999999999996</v>
      </c>
      <c r="G327" s="106">
        <v>29.95</v>
      </c>
      <c r="H327" s="154">
        <v>44391</v>
      </c>
    </row>
    <row r="328" spans="1:8">
      <c r="A328" t="s">
        <v>71</v>
      </c>
      <c r="B328" t="s">
        <v>70</v>
      </c>
      <c r="C328">
        <v>675</v>
      </c>
      <c r="D328">
        <v>21297</v>
      </c>
      <c r="E328" s="106">
        <v>18</v>
      </c>
      <c r="F328" s="106">
        <v>3.06</v>
      </c>
      <c r="G328" s="106">
        <v>21.06</v>
      </c>
      <c r="H328" s="154">
        <v>44391</v>
      </c>
    </row>
    <row r="329" spans="1:8">
      <c r="A329" t="s">
        <v>40</v>
      </c>
      <c r="B329" t="s">
        <v>39</v>
      </c>
      <c r="C329">
        <v>676</v>
      </c>
      <c r="D329">
        <v>21298</v>
      </c>
      <c r="E329" s="106">
        <v>17.5</v>
      </c>
      <c r="F329" s="106">
        <v>2.98</v>
      </c>
      <c r="G329" s="106">
        <v>20.48</v>
      </c>
      <c r="H329" s="154">
        <v>44391</v>
      </c>
    </row>
    <row r="330" spans="1:8">
      <c r="A330" t="s">
        <v>85</v>
      </c>
      <c r="B330" t="s">
        <v>84</v>
      </c>
      <c r="C330">
        <v>677</v>
      </c>
      <c r="D330">
        <v>21299</v>
      </c>
      <c r="E330" s="106">
        <v>22</v>
      </c>
      <c r="F330" s="106">
        <v>3.74</v>
      </c>
      <c r="G330" s="106">
        <v>25.74</v>
      </c>
      <c r="H330" s="154">
        <v>44391</v>
      </c>
    </row>
    <row r="331" spans="1:8">
      <c r="A331" t="s">
        <v>76</v>
      </c>
      <c r="B331" t="s">
        <v>75</v>
      </c>
      <c r="C331">
        <v>678</v>
      </c>
      <c r="D331">
        <v>21300</v>
      </c>
      <c r="E331" s="106">
        <v>72.099999999999994</v>
      </c>
      <c r="F331" s="106">
        <v>12.26</v>
      </c>
      <c r="G331" s="106">
        <v>84.36</v>
      </c>
      <c r="H331" s="154">
        <v>44391</v>
      </c>
    </row>
    <row r="332" spans="1:8">
      <c r="A332" t="s">
        <v>93</v>
      </c>
      <c r="B332" t="s">
        <v>92</v>
      </c>
      <c r="C332">
        <v>679</v>
      </c>
      <c r="D332">
        <v>21301</v>
      </c>
      <c r="E332" s="106">
        <v>49.9</v>
      </c>
      <c r="F332" s="106">
        <v>8.48</v>
      </c>
      <c r="G332" s="106">
        <v>58.38</v>
      </c>
      <c r="H332" s="154">
        <v>44391</v>
      </c>
    </row>
    <row r="333" spans="1:8">
      <c r="A333" t="s">
        <v>97</v>
      </c>
      <c r="B333" t="s">
        <v>96</v>
      </c>
      <c r="C333">
        <v>680</v>
      </c>
      <c r="D333">
        <v>21302</v>
      </c>
      <c r="E333" s="106">
        <v>66.5</v>
      </c>
      <c r="F333" s="106">
        <v>11.31</v>
      </c>
      <c r="G333" s="106">
        <v>77.81</v>
      </c>
      <c r="H333" s="154">
        <v>44391</v>
      </c>
    </row>
    <row r="334" spans="1:8">
      <c r="A334" t="s">
        <v>56</v>
      </c>
      <c r="B334" t="s">
        <v>55</v>
      </c>
      <c r="C334">
        <v>681</v>
      </c>
      <c r="D334">
        <v>21303</v>
      </c>
      <c r="E334" s="106">
        <v>25.2</v>
      </c>
      <c r="F334" s="106">
        <v>4.28</v>
      </c>
      <c r="G334" s="106">
        <v>29.48</v>
      </c>
      <c r="H334" s="154">
        <v>44391</v>
      </c>
    </row>
    <row r="335" spans="1:8">
      <c r="A335" t="s">
        <v>9</v>
      </c>
      <c r="B335" t="s">
        <v>8</v>
      </c>
      <c r="C335">
        <v>682</v>
      </c>
      <c r="D335">
        <v>21304</v>
      </c>
      <c r="E335" s="106">
        <v>162.69999999999999</v>
      </c>
      <c r="F335" s="106">
        <v>27.66</v>
      </c>
      <c r="G335" s="106">
        <v>190.36</v>
      </c>
      <c r="H335" s="154">
        <v>44398</v>
      </c>
    </row>
    <row r="336" spans="1:8">
      <c r="A336" t="s">
        <v>17</v>
      </c>
      <c r="B336" t="s">
        <v>16</v>
      </c>
      <c r="C336">
        <v>683</v>
      </c>
      <c r="D336">
        <v>21305</v>
      </c>
      <c r="E336" s="106">
        <v>82.2</v>
      </c>
      <c r="F336" s="106">
        <v>13.97</v>
      </c>
      <c r="G336" s="106">
        <v>96.17</v>
      </c>
      <c r="H336" s="154">
        <v>44398</v>
      </c>
    </row>
    <row r="337" spans="1:9">
      <c r="A337" t="s">
        <v>17</v>
      </c>
      <c r="B337" t="s">
        <v>20</v>
      </c>
      <c r="C337">
        <v>684</v>
      </c>
      <c r="D337">
        <v>21306</v>
      </c>
      <c r="E337" s="106">
        <v>26.5</v>
      </c>
      <c r="F337" s="106">
        <v>4.51</v>
      </c>
      <c r="G337" s="106">
        <v>31.01</v>
      </c>
      <c r="H337" s="154">
        <v>44398</v>
      </c>
    </row>
    <row r="338" spans="1:9">
      <c r="A338" t="s">
        <v>17</v>
      </c>
      <c r="B338" t="s">
        <v>79</v>
      </c>
      <c r="C338">
        <v>685</v>
      </c>
      <c r="D338">
        <v>21307</v>
      </c>
      <c r="E338" s="106">
        <v>196.7</v>
      </c>
      <c r="F338" s="106">
        <v>33.44</v>
      </c>
      <c r="G338" s="106">
        <v>230.14</v>
      </c>
      <c r="H338" s="154">
        <v>44398</v>
      </c>
    </row>
    <row r="339" spans="1:9">
      <c r="A339" t="s">
        <v>56</v>
      </c>
      <c r="B339" t="s">
        <v>55</v>
      </c>
      <c r="C339">
        <v>686</v>
      </c>
      <c r="D339">
        <v>21308</v>
      </c>
      <c r="E339" s="106">
        <v>25.44</v>
      </c>
      <c r="F339" s="106">
        <v>4.32</v>
      </c>
      <c r="G339" s="106">
        <v>29.76</v>
      </c>
      <c r="H339" s="154">
        <v>44398</v>
      </c>
    </row>
    <row r="340" spans="1:9">
      <c r="A340" t="s">
        <v>71</v>
      </c>
      <c r="B340" t="s">
        <v>70</v>
      </c>
      <c r="C340">
        <v>687</v>
      </c>
      <c r="D340">
        <v>21309</v>
      </c>
      <c r="E340" s="106">
        <v>17.8</v>
      </c>
      <c r="F340" s="106">
        <v>3.03</v>
      </c>
      <c r="G340" s="106">
        <v>20.83</v>
      </c>
      <c r="H340" s="154">
        <v>44398</v>
      </c>
      <c r="I340" t="s">
        <v>260</v>
      </c>
    </row>
    <row r="341" spans="1:9">
      <c r="A341" s="119" t="s">
        <v>40</v>
      </c>
      <c r="B341" t="s">
        <v>39</v>
      </c>
      <c r="C341" s="181">
        <v>688</v>
      </c>
      <c r="D341" s="120">
        <v>21310</v>
      </c>
      <c r="E341" s="121">
        <v>21</v>
      </c>
      <c r="F341" s="121">
        <v>3.57</v>
      </c>
      <c r="G341" s="121">
        <v>24.57</v>
      </c>
      <c r="H341" s="154">
        <v>44398</v>
      </c>
    </row>
    <row r="342" spans="1:9">
      <c r="A342" t="s">
        <v>85</v>
      </c>
      <c r="B342" t="s">
        <v>84</v>
      </c>
      <c r="C342">
        <v>689</v>
      </c>
      <c r="D342">
        <v>21311</v>
      </c>
      <c r="E342" s="106">
        <v>22</v>
      </c>
      <c r="F342" s="106">
        <v>3.74</v>
      </c>
      <c r="G342" s="106">
        <v>25.74</v>
      </c>
      <c r="H342" s="154">
        <v>44398</v>
      </c>
    </row>
    <row r="343" spans="1:9">
      <c r="A343" t="s">
        <v>76</v>
      </c>
      <c r="B343" t="s">
        <v>75</v>
      </c>
      <c r="C343">
        <v>690</v>
      </c>
      <c r="D343">
        <v>21312</v>
      </c>
      <c r="E343" s="106">
        <v>72.099999999999994</v>
      </c>
      <c r="F343" s="106">
        <v>12.26</v>
      </c>
      <c r="G343" s="106">
        <v>84.36</v>
      </c>
      <c r="H343" s="154">
        <v>44398</v>
      </c>
    </row>
    <row r="344" spans="1:9">
      <c r="A344" t="s">
        <v>93</v>
      </c>
      <c r="B344" t="s">
        <v>92</v>
      </c>
      <c r="C344">
        <v>691</v>
      </c>
      <c r="D344">
        <v>21313</v>
      </c>
      <c r="E344" s="106">
        <v>50.2</v>
      </c>
      <c r="F344" s="106">
        <v>8.5299999999999994</v>
      </c>
      <c r="G344" s="106">
        <v>58.73</v>
      </c>
      <c r="H344" s="154">
        <v>44398</v>
      </c>
    </row>
    <row r="345" spans="1:9">
      <c r="A345" t="s">
        <v>97</v>
      </c>
      <c r="B345" t="s">
        <v>96</v>
      </c>
      <c r="C345">
        <v>692</v>
      </c>
      <c r="D345">
        <v>21314</v>
      </c>
      <c r="E345" s="106">
        <v>70</v>
      </c>
      <c r="F345" s="106">
        <v>11.9</v>
      </c>
      <c r="G345" s="106">
        <v>81.900000000000006</v>
      </c>
      <c r="H345" s="154">
        <v>44398</v>
      </c>
    </row>
    <row r="346" spans="1:9">
      <c r="A346" t="s">
        <v>56</v>
      </c>
      <c r="B346" t="s">
        <v>55</v>
      </c>
      <c r="C346">
        <v>693</v>
      </c>
      <c r="D346">
        <v>21315</v>
      </c>
      <c r="E346" s="106">
        <v>94</v>
      </c>
      <c r="F346" s="106">
        <v>15.98</v>
      </c>
      <c r="G346" s="106">
        <v>109.98</v>
      </c>
      <c r="H346" s="154">
        <v>44398</v>
      </c>
    </row>
    <row r="347" spans="1:9">
      <c r="A347" t="s">
        <v>9</v>
      </c>
      <c r="B347" t="s">
        <v>8</v>
      </c>
      <c r="C347">
        <v>694</v>
      </c>
      <c r="D347">
        <v>21316</v>
      </c>
      <c r="E347" s="106">
        <v>109.8</v>
      </c>
      <c r="F347" s="106">
        <v>18.670000000000002</v>
      </c>
      <c r="G347" s="106">
        <v>128.47</v>
      </c>
      <c r="H347" s="154">
        <v>44405</v>
      </c>
    </row>
    <row r="348" spans="1:9">
      <c r="A348" t="s">
        <v>9</v>
      </c>
      <c r="B348" t="s">
        <v>15</v>
      </c>
      <c r="C348">
        <v>695</v>
      </c>
      <c r="D348">
        <v>21317</v>
      </c>
      <c r="E348" s="106">
        <v>15.9</v>
      </c>
      <c r="F348" s="106">
        <v>2.7</v>
      </c>
      <c r="G348" s="106">
        <v>18.600000000000001</v>
      </c>
      <c r="H348" s="154">
        <v>44405</v>
      </c>
    </row>
    <row r="349" spans="1:9">
      <c r="A349" t="s">
        <v>17</v>
      </c>
      <c r="B349" t="s">
        <v>16</v>
      </c>
      <c r="C349">
        <v>696</v>
      </c>
      <c r="D349">
        <v>21318</v>
      </c>
      <c r="E349" s="106">
        <v>37.4</v>
      </c>
      <c r="F349" s="106">
        <v>6.36</v>
      </c>
      <c r="G349" s="106">
        <v>43.76</v>
      </c>
      <c r="H349" s="154">
        <v>44405</v>
      </c>
    </row>
    <row r="350" spans="1:9">
      <c r="A350" t="s">
        <v>17</v>
      </c>
      <c r="B350" t="s">
        <v>20</v>
      </c>
      <c r="C350">
        <v>697</v>
      </c>
      <c r="D350">
        <v>21319</v>
      </c>
      <c r="E350" s="106">
        <v>27.1</v>
      </c>
      <c r="F350" s="106">
        <v>4.6100000000000003</v>
      </c>
      <c r="G350" s="106">
        <v>31.71</v>
      </c>
      <c r="H350" s="154">
        <v>44405</v>
      </c>
    </row>
    <row r="351" spans="1:9">
      <c r="A351" t="s">
        <v>17</v>
      </c>
      <c r="B351" t="s">
        <v>79</v>
      </c>
      <c r="C351">
        <v>698</v>
      </c>
      <c r="D351" s="113">
        <v>21320</v>
      </c>
      <c r="E351" s="106">
        <v>124.1</v>
      </c>
      <c r="F351" s="106">
        <v>21.1</v>
      </c>
      <c r="G351" s="106">
        <v>145.19999999999999</v>
      </c>
      <c r="H351" s="154">
        <v>44405</v>
      </c>
    </row>
    <row r="352" spans="1:9">
      <c r="A352" t="s">
        <v>56</v>
      </c>
      <c r="B352" t="s">
        <v>55</v>
      </c>
      <c r="C352">
        <v>699</v>
      </c>
      <c r="D352" s="113">
        <v>21321</v>
      </c>
      <c r="E352" s="122">
        <v>40</v>
      </c>
      <c r="F352" s="122">
        <v>6.8</v>
      </c>
      <c r="G352" s="122">
        <v>46.8</v>
      </c>
      <c r="H352" s="154">
        <v>44405</v>
      </c>
    </row>
    <row r="353" spans="1:8">
      <c r="A353" t="s">
        <v>71</v>
      </c>
      <c r="B353" t="s">
        <v>70</v>
      </c>
      <c r="C353">
        <v>700</v>
      </c>
      <c r="D353" s="113">
        <v>21322</v>
      </c>
      <c r="E353">
        <v>18</v>
      </c>
      <c r="F353">
        <v>3.06</v>
      </c>
      <c r="G353" s="1">
        <v>21.06</v>
      </c>
      <c r="H353" s="154">
        <v>44405</v>
      </c>
    </row>
    <row r="354" spans="1:8" ht="15.6">
      <c r="A354" t="s">
        <v>40</v>
      </c>
      <c r="B354" s="118" t="s">
        <v>39</v>
      </c>
      <c r="C354">
        <v>701</v>
      </c>
      <c r="D354">
        <v>21323</v>
      </c>
      <c r="E354">
        <v>28</v>
      </c>
      <c r="F354">
        <v>4.76</v>
      </c>
      <c r="G354">
        <v>32.76</v>
      </c>
      <c r="H354" s="154">
        <v>44405</v>
      </c>
    </row>
    <row r="355" spans="1:8">
      <c r="A355" s="115" t="s">
        <v>85</v>
      </c>
      <c r="B355" s="115" t="s">
        <v>84</v>
      </c>
      <c r="C355" s="115">
        <v>702</v>
      </c>
      <c r="D355" s="116">
        <v>21324</v>
      </c>
      <c r="E355" s="115">
        <v>22</v>
      </c>
      <c r="F355" s="115">
        <v>3.74</v>
      </c>
      <c r="G355" s="117">
        <v>25.74</v>
      </c>
      <c r="H355" s="159">
        <v>44405</v>
      </c>
    </row>
    <row r="356" spans="1:8">
      <c r="A356" t="s">
        <v>76</v>
      </c>
      <c r="B356" t="s">
        <v>75</v>
      </c>
      <c r="C356">
        <v>703</v>
      </c>
      <c r="D356">
        <v>21325</v>
      </c>
      <c r="E356" s="106">
        <v>59.9</v>
      </c>
      <c r="F356" s="106">
        <v>10.18</v>
      </c>
      <c r="G356" s="106">
        <v>70.08</v>
      </c>
      <c r="H356" s="154">
        <v>44405</v>
      </c>
    </row>
    <row r="357" spans="1:8">
      <c r="A357" t="s">
        <v>93</v>
      </c>
      <c r="B357" t="s">
        <v>92</v>
      </c>
      <c r="C357">
        <v>704</v>
      </c>
      <c r="D357">
        <v>21326</v>
      </c>
      <c r="E357" s="106">
        <v>42.9</v>
      </c>
      <c r="F357" s="106">
        <v>7.29</v>
      </c>
      <c r="G357" s="106">
        <v>50.19</v>
      </c>
      <c r="H357" s="154">
        <v>44405</v>
      </c>
    </row>
    <row r="358" spans="1:8">
      <c r="A358" t="s">
        <v>97</v>
      </c>
      <c r="B358" t="s">
        <v>96</v>
      </c>
      <c r="C358">
        <v>705</v>
      </c>
      <c r="D358">
        <v>21327</v>
      </c>
      <c r="E358" s="106">
        <v>70</v>
      </c>
      <c r="F358" s="106">
        <v>11.9</v>
      </c>
      <c r="G358" s="106">
        <v>81.900000000000006</v>
      </c>
      <c r="H358" s="154">
        <v>44405</v>
      </c>
    </row>
    <row r="359" spans="1:8">
      <c r="A359" t="s">
        <v>61</v>
      </c>
      <c r="B359" t="s">
        <v>60</v>
      </c>
      <c r="C359">
        <v>706</v>
      </c>
      <c r="D359">
        <v>21328</v>
      </c>
      <c r="E359" s="106">
        <v>16.5</v>
      </c>
      <c r="F359" s="106">
        <v>2.81</v>
      </c>
      <c r="G359" s="106">
        <v>19.309999999999999</v>
      </c>
      <c r="H359" s="154">
        <v>44405</v>
      </c>
    </row>
    <row r="360" spans="1:8">
      <c r="E360" s="106">
        <f>SUM(E309:E359)</f>
        <v>2870.84</v>
      </c>
      <c r="F360" s="106">
        <f>SUM(F309:F359)</f>
        <v>488.05</v>
      </c>
      <c r="G360" s="106"/>
    </row>
    <row r="361" spans="1:8">
      <c r="E361" s="106"/>
      <c r="F361" s="106"/>
      <c r="G361" s="106"/>
    </row>
    <row r="362" spans="1:8">
      <c r="E362" s="106"/>
      <c r="F362" s="106"/>
      <c r="G362" s="106"/>
    </row>
    <row r="363" spans="1:8">
      <c r="A363" t="s">
        <v>9</v>
      </c>
      <c r="B363" t="s">
        <v>8</v>
      </c>
      <c r="C363">
        <v>707</v>
      </c>
      <c r="D363">
        <v>21329</v>
      </c>
      <c r="E363" s="106">
        <v>163.6</v>
      </c>
      <c r="F363" s="106">
        <v>27.81</v>
      </c>
      <c r="G363" s="106">
        <v>191.41</v>
      </c>
      <c r="H363" s="154">
        <v>44412</v>
      </c>
    </row>
    <row r="364" spans="1:8">
      <c r="A364" t="s">
        <v>9</v>
      </c>
      <c r="B364" t="s">
        <v>15</v>
      </c>
      <c r="C364">
        <v>708</v>
      </c>
      <c r="D364">
        <v>21330</v>
      </c>
      <c r="E364" s="106">
        <v>31.2</v>
      </c>
      <c r="F364" s="106">
        <v>5.3</v>
      </c>
      <c r="G364" s="106">
        <v>36.5</v>
      </c>
      <c r="H364" s="154">
        <v>44412</v>
      </c>
    </row>
    <row r="365" spans="1:8">
      <c r="A365" t="s">
        <v>17</v>
      </c>
      <c r="B365" t="s">
        <v>16</v>
      </c>
      <c r="C365">
        <v>709</v>
      </c>
      <c r="D365">
        <v>21331</v>
      </c>
      <c r="E365" s="106">
        <v>57.6</v>
      </c>
      <c r="F365" s="106">
        <v>9.7899999999999991</v>
      </c>
      <c r="G365" s="106">
        <v>67.39</v>
      </c>
      <c r="H365" s="154">
        <v>44412</v>
      </c>
    </row>
    <row r="366" spans="1:8">
      <c r="A366" t="s">
        <v>17</v>
      </c>
      <c r="B366" t="s">
        <v>20</v>
      </c>
      <c r="C366">
        <v>710</v>
      </c>
      <c r="D366">
        <v>21332</v>
      </c>
      <c r="E366" s="106">
        <v>39.299999999999997</v>
      </c>
      <c r="F366" s="106">
        <v>6.68</v>
      </c>
      <c r="G366" s="106">
        <v>45.98</v>
      </c>
      <c r="H366" s="154">
        <v>44412</v>
      </c>
    </row>
    <row r="367" spans="1:8">
      <c r="A367" t="s">
        <v>17</v>
      </c>
      <c r="B367" t="s">
        <v>79</v>
      </c>
      <c r="C367">
        <v>711</v>
      </c>
      <c r="D367">
        <v>21333</v>
      </c>
      <c r="E367" s="106">
        <v>85.5</v>
      </c>
      <c r="F367" s="106">
        <v>14.54</v>
      </c>
      <c r="G367" s="106">
        <v>100.04</v>
      </c>
      <c r="H367" s="154">
        <v>44412</v>
      </c>
    </row>
    <row r="368" spans="1:8">
      <c r="A368" t="s">
        <v>56</v>
      </c>
      <c r="B368" t="s">
        <v>55</v>
      </c>
      <c r="C368">
        <v>712</v>
      </c>
      <c r="D368">
        <v>21334</v>
      </c>
      <c r="E368" s="106">
        <v>22.8</v>
      </c>
      <c r="F368" s="106">
        <v>3.88</v>
      </c>
      <c r="G368" s="106">
        <v>26.68</v>
      </c>
      <c r="H368" s="154">
        <v>44412</v>
      </c>
    </row>
    <row r="369" spans="1:8">
      <c r="A369" t="s">
        <v>71</v>
      </c>
      <c r="B369" t="s">
        <v>70</v>
      </c>
      <c r="C369">
        <v>713</v>
      </c>
      <c r="D369">
        <v>21335</v>
      </c>
      <c r="E369" s="106">
        <v>18</v>
      </c>
      <c r="F369" s="106">
        <v>3.06</v>
      </c>
      <c r="G369" s="106">
        <v>21.06</v>
      </c>
      <c r="H369" s="154">
        <v>44412</v>
      </c>
    </row>
    <row r="370" spans="1:8">
      <c r="A370" t="s">
        <v>40</v>
      </c>
      <c r="B370" t="s">
        <v>39</v>
      </c>
      <c r="C370">
        <v>714</v>
      </c>
      <c r="D370">
        <v>21336</v>
      </c>
      <c r="E370" s="106">
        <v>24.5</v>
      </c>
      <c r="F370" s="106">
        <v>4.17</v>
      </c>
      <c r="G370" s="106">
        <v>28.67</v>
      </c>
      <c r="H370" s="154">
        <v>44412</v>
      </c>
    </row>
    <row r="371" spans="1:8">
      <c r="A371" t="s">
        <v>85</v>
      </c>
      <c r="B371" t="s">
        <v>84</v>
      </c>
      <c r="C371">
        <v>715</v>
      </c>
      <c r="D371">
        <v>21337</v>
      </c>
      <c r="E371" s="106">
        <v>22</v>
      </c>
      <c r="F371" s="106">
        <v>3.74</v>
      </c>
      <c r="G371" s="106">
        <v>25.74</v>
      </c>
      <c r="H371" s="154">
        <v>44412</v>
      </c>
    </row>
    <row r="372" spans="1:8">
      <c r="A372" t="s">
        <v>76</v>
      </c>
      <c r="B372" t="s">
        <v>75</v>
      </c>
      <c r="C372">
        <v>716</v>
      </c>
      <c r="D372">
        <v>21338</v>
      </c>
      <c r="E372" s="106">
        <v>64.900000000000006</v>
      </c>
      <c r="F372" s="106">
        <v>11.03</v>
      </c>
      <c r="G372" s="106">
        <v>75.930000000000007</v>
      </c>
      <c r="H372" s="154">
        <v>44412</v>
      </c>
    </row>
    <row r="373" spans="1:8">
      <c r="A373" t="s">
        <v>93</v>
      </c>
      <c r="B373" t="s">
        <v>92</v>
      </c>
      <c r="C373">
        <v>717</v>
      </c>
      <c r="D373">
        <v>21339</v>
      </c>
      <c r="E373" s="106">
        <v>57.6</v>
      </c>
      <c r="F373" s="106">
        <v>9.7899999999999991</v>
      </c>
      <c r="G373" s="106">
        <v>67.39</v>
      </c>
      <c r="H373" s="154">
        <v>44412</v>
      </c>
    </row>
    <row r="374" spans="1:8">
      <c r="A374" t="s">
        <v>97</v>
      </c>
      <c r="B374" t="s">
        <v>96</v>
      </c>
      <c r="C374">
        <v>718</v>
      </c>
      <c r="D374">
        <v>21340</v>
      </c>
      <c r="E374" s="106">
        <v>70</v>
      </c>
      <c r="F374" s="106">
        <v>11.9</v>
      </c>
      <c r="G374" s="106">
        <v>81.900000000000006</v>
      </c>
      <c r="H374" s="154">
        <v>44412</v>
      </c>
    </row>
    <row r="375" spans="1:8">
      <c r="A375" t="s">
        <v>61</v>
      </c>
      <c r="B375" t="s">
        <v>60</v>
      </c>
      <c r="C375">
        <v>719</v>
      </c>
      <c r="D375">
        <v>21341</v>
      </c>
      <c r="E375" s="106">
        <v>23.1</v>
      </c>
      <c r="F375" s="106">
        <v>3.93</v>
      </c>
      <c r="G375" s="106">
        <v>27.03</v>
      </c>
      <c r="H375" s="154">
        <v>44412</v>
      </c>
    </row>
    <row r="376" spans="1:8">
      <c r="A376" t="s">
        <v>99</v>
      </c>
      <c r="B376" t="s">
        <v>98</v>
      </c>
      <c r="C376">
        <v>720</v>
      </c>
      <c r="D376">
        <v>21342</v>
      </c>
      <c r="E376" s="106">
        <v>736</v>
      </c>
      <c r="F376" s="106">
        <v>125.12</v>
      </c>
      <c r="G376" s="106">
        <v>861.12</v>
      </c>
      <c r="H376" s="154">
        <v>44412</v>
      </c>
    </row>
    <row r="377" spans="1:8">
      <c r="A377" t="s">
        <v>9</v>
      </c>
      <c r="B377" t="s">
        <v>8</v>
      </c>
      <c r="C377">
        <v>721</v>
      </c>
      <c r="D377">
        <v>21343</v>
      </c>
      <c r="E377" s="106">
        <v>172.1</v>
      </c>
      <c r="F377" s="106">
        <v>29.26</v>
      </c>
      <c r="G377" s="106">
        <v>201.36</v>
      </c>
      <c r="H377" s="154">
        <v>44419</v>
      </c>
    </row>
    <row r="378" spans="1:8">
      <c r="A378" t="s">
        <v>9</v>
      </c>
      <c r="B378" t="s">
        <v>15</v>
      </c>
      <c r="C378">
        <v>722</v>
      </c>
      <c r="D378">
        <v>21344</v>
      </c>
      <c r="E378" s="106">
        <v>37.1</v>
      </c>
      <c r="F378" s="106">
        <v>6.31</v>
      </c>
      <c r="G378" s="106">
        <v>43.41</v>
      </c>
      <c r="H378" s="154">
        <v>44419</v>
      </c>
    </row>
    <row r="379" spans="1:8">
      <c r="A379" t="s">
        <v>17</v>
      </c>
      <c r="B379" t="s">
        <v>16</v>
      </c>
      <c r="C379">
        <v>723</v>
      </c>
      <c r="D379">
        <v>21345</v>
      </c>
      <c r="E379" s="106">
        <v>83.8</v>
      </c>
      <c r="F379" s="106">
        <v>14.25</v>
      </c>
      <c r="G379" s="106">
        <v>98.05</v>
      </c>
      <c r="H379" s="154">
        <v>44419</v>
      </c>
    </row>
    <row r="380" spans="1:8">
      <c r="A380" t="s">
        <v>17</v>
      </c>
      <c r="B380" t="s">
        <v>20</v>
      </c>
      <c r="C380">
        <v>724</v>
      </c>
      <c r="D380">
        <v>21346</v>
      </c>
      <c r="E380" s="106">
        <v>8.4</v>
      </c>
      <c r="F380" s="106">
        <v>1.43</v>
      </c>
      <c r="G380" s="106">
        <v>9.83</v>
      </c>
      <c r="H380" s="154">
        <v>44419</v>
      </c>
    </row>
    <row r="381" spans="1:8">
      <c r="A381" t="s">
        <v>56</v>
      </c>
      <c r="B381" t="s">
        <v>55</v>
      </c>
      <c r="C381">
        <v>725</v>
      </c>
      <c r="D381">
        <v>21347</v>
      </c>
      <c r="E381" s="106">
        <v>82.16</v>
      </c>
      <c r="F381" s="106">
        <v>13.97</v>
      </c>
      <c r="G381" s="106">
        <v>96.13</v>
      </c>
      <c r="H381" s="154">
        <v>44419</v>
      </c>
    </row>
    <row r="382" spans="1:8">
      <c r="A382" t="s">
        <v>17</v>
      </c>
      <c r="B382" t="s">
        <v>79</v>
      </c>
      <c r="C382">
        <v>726</v>
      </c>
      <c r="D382">
        <v>21348</v>
      </c>
      <c r="E382" s="106">
        <v>143.30000000000001</v>
      </c>
      <c r="F382" s="106">
        <v>24.36</v>
      </c>
      <c r="G382" s="106">
        <v>167.66</v>
      </c>
      <c r="H382" s="154">
        <v>44419</v>
      </c>
    </row>
    <row r="383" spans="1:8">
      <c r="A383" t="s">
        <v>56</v>
      </c>
      <c r="B383" t="s">
        <v>55</v>
      </c>
      <c r="C383">
        <v>727</v>
      </c>
      <c r="D383">
        <v>21349</v>
      </c>
      <c r="E383" s="106">
        <v>22.8</v>
      </c>
      <c r="F383" s="106">
        <v>3.88</v>
      </c>
      <c r="G383" s="106">
        <v>26.68</v>
      </c>
      <c r="H383" s="154">
        <v>44419</v>
      </c>
    </row>
    <row r="384" spans="1:8">
      <c r="A384" t="s">
        <v>71</v>
      </c>
      <c r="B384" t="s">
        <v>70</v>
      </c>
      <c r="C384">
        <v>728</v>
      </c>
      <c r="D384">
        <v>21350</v>
      </c>
      <c r="E384" s="106">
        <v>18</v>
      </c>
      <c r="F384" s="106">
        <v>3.06</v>
      </c>
      <c r="G384" s="106">
        <v>21.06</v>
      </c>
      <c r="H384" s="154">
        <v>44419</v>
      </c>
    </row>
    <row r="385" spans="1:8">
      <c r="A385" t="s">
        <v>40</v>
      </c>
      <c r="B385" t="s">
        <v>39</v>
      </c>
      <c r="C385">
        <v>729</v>
      </c>
      <c r="D385">
        <v>21351</v>
      </c>
      <c r="E385" s="106">
        <v>28</v>
      </c>
      <c r="F385" s="106">
        <v>4.76</v>
      </c>
      <c r="G385" s="106">
        <v>32.76</v>
      </c>
      <c r="H385" s="154">
        <v>44419</v>
      </c>
    </row>
    <row r="386" spans="1:8">
      <c r="A386" t="s">
        <v>85</v>
      </c>
      <c r="B386" t="s">
        <v>84</v>
      </c>
      <c r="C386">
        <v>730</v>
      </c>
      <c r="D386">
        <v>21352</v>
      </c>
      <c r="E386" s="106">
        <v>21</v>
      </c>
      <c r="F386" s="106">
        <v>3.57</v>
      </c>
      <c r="G386" s="106">
        <v>24.57</v>
      </c>
      <c r="H386" s="154">
        <v>44419</v>
      </c>
    </row>
    <row r="387" spans="1:8">
      <c r="A387" t="s">
        <v>76</v>
      </c>
      <c r="B387" t="s">
        <v>75</v>
      </c>
      <c r="C387">
        <v>731</v>
      </c>
      <c r="D387">
        <v>21353</v>
      </c>
      <c r="E387" s="106">
        <v>68.400000000000006</v>
      </c>
      <c r="F387" s="106">
        <v>11.63</v>
      </c>
      <c r="G387" s="106">
        <v>80.03</v>
      </c>
      <c r="H387" s="154">
        <v>44419</v>
      </c>
    </row>
    <row r="388" spans="1:8">
      <c r="A388" t="s">
        <v>97</v>
      </c>
      <c r="B388" t="s">
        <v>96</v>
      </c>
      <c r="C388">
        <v>732</v>
      </c>
      <c r="D388">
        <v>21354</v>
      </c>
      <c r="E388" s="106">
        <v>70</v>
      </c>
      <c r="F388" s="106">
        <v>11.9</v>
      </c>
      <c r="G388" s="106">
        <v>81.900000000000006</v>
      </c>
      <c r="H388" s="154">
        <v>44419</v>
      </c>
    </row>
    <row r="389" spans="1:8">
      <c r="A389" t="s">
        <v>61</v>
      </c>
      <c r="B389" t="s">
        <v>60</v>
      </c>
      <c r="C389">
        <v>733</v>
      </c>
      <c r="D389">
        <v>21355</v>
      </c>
      <c r="E389" s="106">
        <v>24.6</v>
      </c>
      <c r="F389" s="106">
        <v>4.18</v>
      </c>
      <c r="G389" s="106">
        <v>28.78</v>
      </c>
      <c r="H389" s="154">
        <v>44419</v>
      </c>
    </row>
    <row r="390" spans="1:8">
      <c r="A390" t="s">
        <v>120</v>
      </c>
      <c r="B390" t="s">
        <v>119</v>
      </c>
      <c r="C390">
        <v>734</v>
      </c>
      <c r="D390">
        <v>21356</v>
      </c>
      <c r="E390" s="106">
        <v>19.8</v>
      </c>
      <c r="F390" s="106">
        <v>3.37</v>
      </c>
      <c r="G390" s="106">
        <v>23.17</v>
      </c>
      <c r="H390" s="154">
        <v>44419</v>
      </c>
    </row>
    <row r="391" spans="1:8">
      <c r="A391" t="s">
        <v>95</v>
      </c>
      <c r="B391" t="s">
        <v>94</v>
      </c>
      <c r="C391">
        <v>735</v>
      </c>
      <c r="D391">
        <v>21357</v>
      </c>
      <c r="E391" s="106">
        <v>1289.8</v>
      </c>
      <c r="F391" s="106">
        <v>219.27</v>
      </c>
      <c r="G391" s="106">
        <v>1509.07</v>
      </c>
      <c r="H391" s="185" t="s">
        <v>271</v>
      </c>
    </row>
    <row r="392" spans="1:8">
      <c r="A392" t="s">
        <v>9</v>
      </c>
      <c r="B392" t="s">
        <v>8</v>
      </c>
      <c r="C392">
        <v>736</v>
      </c>
      <c r="D392">
        <v>21358</v>
      </c>
      <c r="E392" s="106">
        <v>176.9</v>
      </c>
      <c r="F392" s="106">
        <v>30.07</v>
      </c>
      <c r="G392" s="106">
        <v>206.97</v>
      </c>
      <c r="H392" s="154">
        <v>44426</v>
      </c>
    </row>
    <row r="393" spans="1:8">
      <c r="A393" t="s">
        <v>9</v>
      </c>
      <c r="B393" t="s">
        <v>15</v>
      </c>
      <c r="C393">
        <v>737</v>
      </c>
      <c r="D393">
        <v>21359</v>
      </c>
      <c r="E393" s="106">
        <v>29</v>
      </c>
      <c r="F393" s="106">
        <v>4.93</v>
      </c>
      <c r="G393" s="106">
        <v>33.93</v>
      </c>
      <c r="H393" s="154">
        <v>44426</v>
      </c>
    </row>
    <row r="394" spans="1:8">
      <c r="A394" t="s">
        <v>17</v>
      </c>
      <c r="B394" t="s">
        <v>16</v>
      </c>
      <c r="C394">
        <v>738</v>
      </c>
      <c r="D394">
        <v>21360</v>
      </c>
      <c r="E394">
        <v>84.4</v>
      </c>
      <c r="F394">
        <v>14.35</v>
      </c>
      <c r="G394" s="1">
        <v>98.75</v>
      </c>
      <c r="H394" s="154">
        <v>44426</v>
      </c>
    </row>
    <row r="395" spans="1:8">
      <c r="A395" t="s">
        <v>17</v>
      </c>
      <c r="B395" t="s">
        <v>20</v>
      </c>
      <c r="C395">
        <v>739</v>
      </c>
      <c r="D395">
        <v>21361</v>
      </c>
      <c r="E395">
        <v>13.4</v>
      </c>
      <c r="F395">
        <v>2.2799999999999998</v>
      </c>
      <c r="G395" s="1">
        <v>15.68</v>
      </c>
      <c r="H395" s="154">
        <v>44426</v>
      </c>
    </row>
    <row r="396" spans="1:8">
      <c r="A396" t="s">
        <v>56</v>
      </c>
      <c r="B396" t="s">
        <v>55</v>
      </c>
      <c r="C396">
        <v>740</v>
      </c>
      <c r="D396">
        <v>21362</v>
      </c>
      <c r="E396">
        <v>65.12</v>
      </c>
      <c r="F396">
        <v>11.07</v>
      </c>
      <c r="G396" s="1">
        <v>76.19</v>
      </c>
      <c r="H396" s="154">
        <v>44426</v>
      </c>
    </row>
    <row r="397" spans="1:8" ht="15.6">
      <c r="A397" t="s">
        <v>17</v>
      </c>
      <c r="B397" s="118" t="s">
        <v>79</v>
      </c>
      <c r="C397">
        <v>741</v>
      </c>
      <c r="D397">
        <v>21363</v>
      </c>
      <c r="E397">
        <v>131.80000000000001</v>
      </c>
      <c r="F397">
        <v>22.41</v>
      </c>
      <c r="G397" s="1">
        <v>154.21</v>
      </c>
      <c r="H397" s="154">
        <v>44426</v>
      </c>
    </row>
    <row r="398" spans="1:8">
      <c r="A398" t="s">
        <v>56</v>
      </c>
      <c r="B398" t="s">
        <v>55</v>
      </c>
      <c r="C398">
        <v>742</v>
      </c>
      <c r="D398">
        <v>21364</v>
      </c>
      <c r="E398">
        <v>32.1</v>
      </c>
      <c r="F398">
        <v>5.46</v>
      </c>
      <c r="G398" s="1">
        <v>37.56</v>
      </c>
      <c r="H398" s="154">
        <v>44426</v>
      </c>
    </row>
    <row r="399" spans="1:8">
      <c r="A399" t="s">
        <v>71</v>
      </c>
      <c r="B399" t="s">
        <v>70</v>
      </c>
      <c r="C399">
        <v>743</v>
      </c>
      <c r="D399">
        <v>21365</v>
      </c>
      <c r="E399">
        <v>18</v>
      </c>
      <c r="F399">
        <v>3.06</v>
      </c>
      <c r="G399" s="1">
        <v>21.06</v>
      </c>
      <c r="H399" s="154">
        <v>44426</v>
      </c>
    </row>
    <row r="400" spans="1:8">
      <c r="A400" t="s">
        <v>40</v>
      </c>
      <c r="B400" t="s">
        <v>39</v>
      </c>
      <c r="C400">
        <v>744</v>
      </c>
      <c r="D400">
        <v>21366</v>
      </c>
      <c r="E400">
        <v>24.5</v>
      </c>
      <c r="F400">
        <v>4.17</v>
      </c>
      <c r="G400" s="1">
        <v>28.67</v>
      </c>
      <c r="H400" s="154">
        <v>44426</v>
      </c>
    </row>
    <row r="401" spans="1:8">
      <c r="A401" t="s">
        <v>85</v>
      </c>
      <c r="B401" t="s">
        <v>84</v>
      </c>
      <c r="C401">
        <v>745</v>
      </c>
      <c r="D401">
        <v>21367</v>
      </c>
      <c r="E401">
        <v>21</v>
      </c>
      <c r="F401">
        <v>3.57</v>
      </c>
      <c r="G401" s="1">
        <v>24.57</v>
      </c>
      <c r="H401" s="154">
        <v>44426</v>
      </c>
    </row>
    <row r="402" spans="1:8">
      <c r="A402" t="s">
        <v>76</v>
      </c>
      <c r="B402" t="s">
        <v>75</v>
      </c>
      <c r="C402">
        <v>746</v>
      </c>
      <c r="D402">
        <v>21368</v>
      </c>
      <c r="E402">
        <v>96.7</v>
      </c>
      <c r="F402">
        <v>16.440000000000001</v>
      </c>
      <c r="G402" s="1">
        <v>113.14</v>
      </c>
      <c r="H402" s="154">
        <v>44426</v>
      </c>
    </row>
    <row r="403" spans="1:8">
      <c r="A403" t="s">
        <v>93</v>
      </c>
      <c r="B403" t="s">
        <v>92</v>
      </c>
      <c r="C403">
        <v>747</v>
      </c>
      <c r="D403">
        <v>21369</v>
      </c>
      <c r="E403">
        <v>56.9</v>
      </c>
      <c r="F403">
        <v>9.67</v>
      </c>
      <c r="G403" s="1">
        <v>66.569999999999993</v>
      </c>
      <c r="H403" s="154">
        <v>44426</v>
      </c>
    </row>
    <row r="404" spans="1:8">
      <c r="A404" t="s">
        <v>97</v>
      </c>
      <c r="B404" t="s">
        <v>96</v>
      </c>
      <c r="C404">
        <v>748</v>
      </c>
      <c r="D404">
        <v>21370</v>
      </c>
      <c r="E404">
        <v>70</v>
      </c>
      <c r="F404">
        <v>11.9</v>
      </c>
      <c r="G404" s="1">
        <v>81.900000000000006</v>
      </c>
      <c r="H404" s="154">
        <v>44426</v>
      </c>
    </row>
    <row r="405" spans="1:8">
      <c r="A405" t="s">
        <v>61</v>
      </c>
      <c r="B405" t="s">
        <v>60</v>
      </c>
      <c r="C405">
        <v>749</v>
      </c>
      <c r="D405">
        <v>21371</v>
      </c>
      <c r="E405">
        <v>24.8</v>
      </c>
      <c r="F405">
        <v>4.22</v>
      </c>
      <c r="G405" s="1">
        <v>29.02</v>
      </c>
      <c r="H405" s="154">
        <v>44426</v>
      </c>
    </row>
    <row r="406" spans="1:8">
      <c r="A406" t="s">
        <v>120</v>
      </c>
      <c r="B406" t="s">
        <v>119</v>
      </c>
      <c r="C406">
        <v>750</v>
      </c>
      <c r="D406">
        <v>21372</v>
      </c>
      <c r="E406">
        <v>19.8</v>
      </c>
      <c r="F406">
        <v>3.37</v>
      </c>
      <c r="G406" s="1">
        <v>23.17</v>
      </c>
      <c r="H406" s="154">
        <v>44426</v>
      </c>
    </row>
    <row r="407" spans="1:8">
      <c r="A407" t="s">
        <v>9</v>
      </c>
      <c r="B407" t="s">
        <v>8</v>
      </c>
      <c r="C407">
        <v>751</v>
      </c>
      <c r="D407">
        <v>21373</v>
      </c>
      <c r="E407">
        <v>140.19999999999999</v>
      </c>
      <c r="F407">
        <v>23.83</v>
      </c>
      <c r="G407" s="1">
        <v>164.03</v>
      </c>
      <c r="H407" s="154">
        <v>44433</v>
      </c>
    </row>
    <row r="408" spans="1:8">
      <c r="A408" t="s">
        <v>9</v>
      </c>
      <c r="B408" t="s">
        <v>15</v>
      </c>
      <c r="C408">
        <v>752</v>
      </c>
      <c r="D408">
        <v>21374</v>
      </c>
      <c r="E408">
        <v>23.7</v>
      </c>
      <c r="F408">
        <v>4.03</v>
      </c>
      <c r="G408" s="1">
        <v>27.73</v>
      </c>
      <c r="H408" s="154">
        <v>44433</v>
      </c>
    </row>
    <row r="409" spans="1:8">
      <c r="A409" s="151" t="s">
        <v>17</v>
      </c>
      <c r="B409" s="151" t="s">
        <v>16</v>
      </c>
      <c r="C409" s="151">
        <v>753</v>
      </c>
      <c r="D409" s="151">
        <v>21375</v>
      </c>
      <c r="E409" s="151">
        <v>77.900000000000006</v>
      </c>
      <c r="F409" s="151">
        <v>13.24</v>
      </c>
      <c r="G409" s="183">
        <v>91.14</v>
      </c>
      <c r="H409" s="184">
        <v>44433</v>
      </c>
    </row>
    <row r="410" spans="1:8">
      <c r="A410" t="s">
        <v>17</v>
      </c>
      <c r="B410" t="s">
        <v>20</v>
      </c>
      <c r="C410">
        <v>754</v>
      </c>
      <c r="D410">
        <v>21376</v>
      </c>
      <c r="E410">
        <v>10.9</v>
      </c>
      <c r="F410">
        <v>1.85</v>
      </c>
      <c r="G410" s="1">
        <v>12.75</v>
      </c>
      <c r="H410" s="154">
        <v>44433</v>
      </c>
    </row>
    <row r="411" spans="1:8">
      <c r="A411" t="s">
        <v>56</v>
      </c>
      <c r="B411" t="s">
        <v>55</v>
      </c>
      <c r="C411">
        <v>755</v>
      </c>
      <c r="D411">
        <v>21377</v>
      </c>
      <c r="E411">
        <v>22.4</v>
      </c>
      <c r="F411">
        <v>3.81</v>
      </c>
      <c r="G411" s="1">
        <v>26.21</v>
      </c>
      <c r="H411" s="154">
        <v>44433</v>
      </c>
    </row>
    <row r="412" spans="1:8">
      <c r="A412" t="s">
        <v>17</v>
      </c>
      <c r="B412" t="s">
        <v>79</v>
      </c>
      <c r="C412">
        <v>756</v>
      </c>
      <c r="D412">
        <v>21378</v>
      </c>
      <c r="E412">
        <v>139.6</v>
      </c>
      <c r="F412">
        <v>23.73</v>
      </c>
      <c r="G412" s="1">
        <v>163.33000000000001</v>
      </c>
      <c r="H412" s="154">
        <v>44433</v>
      </c>
    </row>
    <row r="413" spans="1:8">
      <c r="A413" t="s">
        <v>56</v>
      </c>
      <c r="B413" t="s">
        <v>55</v>
      </c>
      <c r="C413">
        <v>757</v>
      </c>
      <c r="D413">
        <v>21379</v>
      </c>
      <c r="E413">
        <v>60.4</v>
      </c>
      <c r="F413">
        <v>10.27</v>
      </c>
      <c r="G413" s="1">
        <v>70.67</v>
      </c>
      <c r="H413" s="154">
        <v>44433</v>
      </c>
    </row>
    <row r="414" spans="1:8">
      <c r="A414" t="s">
        <v>71</v>
      </c>
      <c r="B414" t="s">
        <v>70</v>
      </c>
      <c r="C414">
        <v>758</v>
      </c>
      <c r="D414">
        <v>21380</v>
      </c>
      <c r="E414">
        <v>18</v>
      </c>
      <c r="F414">
        <v>3.06</v>
      </c>
      <c r="G414" s="1">
        <v>21.06</v>
      </c>
      <c r="H414" s="154">
        <v>44433</v>
      </c>
    </row>
    <row r="415" spans="1:8">
      <c r="A415" t="s">
        <v>40</v>
      </c>
      <c r="B415" t="s">
        <v>39</v>
      </c>
      <c r="C415">
        <v>759</v>
      </c>
      <c r="D415">
        <v>21381</v>
      </c>
      <c r="E415">
        <v>24.5</v>
      </c>
      <c r="F415">
        <v>4.17</v>
      </c>
      <c r="G415" s="1">
        <v>28.67</v>
      </c>
      <c r="H415" s="154">
        <v>44433</v>
      </c>
    </row>
    <row r="416" spans="1:8">
      <c r="A416" t="s">
        <v>85</v>
      </c>
      <c r="B416" t="s">
        <v>84</v>
      </c>
      <c r="C416">
        <v>760</v>
      </c>
      <c r="D416">
        <v>21382</v>
      </c>
      <c r="E416" s="63">
        <v>22</v>
      </c>
      <c r="F416" s="63">
        <v>3.74</v>
      </c>
      <c r="G416" s="63">
        <v>25.74</v>
      </c>
      <c r="H416" s="182">
        <v>44433</v>
      </c>
    </row>
    <row r="417" spans="1:8">
      <c r="A417" t="s">
        <v>76</v>
      </c>
      <c r="B417" t="s">
        <v>75</v>
      </c>
      <c r="C417">
        <v>761</v>
      </c>
      <c r="D417">
        <v>21383</v>
      </c>
      <c r="E417">
        <v>96.7</v>
      </c>
      <c r="F417">
        <v>16.440000000000001</v>
      </c>
      <c r="G417" s="1">
        <v>113.14</v>
      </c>
      <c r="H417" s="154">
        <v>44433</v>
      </c>
    </row>
    <row r="418" spans="1:8">
      <c r="A418" t="s">
        <v>93</v>
      </c>
      <c r="B418" t="s">
        <v>92</v>
      </c>
      <c r="C418">
        <v>762</v>
      </c>
      <c r="D418">
        <v>21384</v>
      </c>
      <c r="E418">
        <v>56.9</v>
      </c>
      <c r="F418">
        <v>9.67</v>
      </c>
      <c r="G418" s="1">
        <v>66.569999999999993</v>
      </c>
      <c r="H418" s="154">
        <v>44433</v>
      </c>
    </row>
    <row r="419" spans="1:8">
      <c r="A419" t="s">
        <v>97</v>
      </c>
      <c r="B419" t="s">
        <v>96</v>
      </c>
      <c r="C419">
        <v>763</v>
      </c>
      <c r="D419">
        <v>21385</v>
      </c>
      <c r="E419">
        <v>70</v>
      </c>
      <c r="F419">
        <v>11.9</v>
      </c>
      <c r="G419" s="1">
        <v>81.900000000000006</v>
      </c>
      <c r="H419" s="154">
        <v>44433</v>
      </c>
    </row>
    <row r="420" spans="1:8">
      <c r="A420" t="s">
        <v>61</v>
      </c>
      <c r="B420" t="s">
        <v>60</v>
      </c>
      <c r="C420">
        <v>764</v>
      </c>
      <c r="D420">
        <v>21386</v>
      </c>
      <c r="E420">
        <v>24.8</v>
      </c>
      <c r="F420">
        <v>4.22</v>
      </c>
      <c r="G420" s="1">
        <v>29.02</v>
      </c>
      <c r="H420" s="154">
        <v>44433</v>
      </c>
    </row>
    <row r="421" spans="1:8">
      <c r="A421" t="s">
        <v>120</v>
      </c>
      <c r="B421" t="s">
        <v>119</v>
      </c>
      <c r="C421">
        <v>765</v>
      </c>
      <c r="D421">
        <v>21387</v>
      </c>
      <c r="E421">
        <v>19.8</v>
      </c>
      <c r="F421">
        <v>3.37</v>
      </c>
      <c r="G421" s="1">
        <v>23.17</v>
      </c>
      <c r="H421" s="154">
        <v>44433</v>
      </c>
    </row>
    <row r="422" spans="1:8">
      <c r="E422" s="106">
        <f>SUM(E363:E421)</f>
        <v>5177.5799999999981</v>
      </c>
      <c r="F422" s="106">
        <f>SUM(F363:F421)</f>
        <v>880.24</v>
      </c>
    </row>
    <row r="428" spans="1:8">
      <c r="A428" t="s">
        <v>9</v>
      </c>
      <c r="B428" t="s">
        <v>8</v>
      </c>
      <c r="C428">
        <v>766</v>
      </c>
      <c r="D428">
        <v>21388</v>
      </c>
      <c r="E428">
        <v>160.4</v>
      </c>
      <c r="F428">
        <v>27.27</v>
      </c>
      <c r="G428" s="1">
        <v>187.67</v>
      </c>
      <c r="H428" s="154">
        <v>44440</v>
      </c>
    </row>
    <row r="429" spans="1:8">
      <c r="A429" t="s">
        <v>9</v>
      </c>
      <c r="B429" t="s">
        <v>15</v>
      </c>
      <c r="C429">
        <v>767</v>
      </c>
      <c r="D429">
        <v>21389</v>
      </c>
      <c r="E429">
        <v>29.3</v>
      </c>
      <c r="F429">
        <v>4.9800000000000004</v>
      </c>
      <c r="G429" s="1">
        <v>34.28</v>
      </c>
      <c r="H429" s="154">
        <v>44440</v>
      </c>
    </row>
    <row r="430" spans="1:8">
      <c r="A430" t="s">
        <v>17</v>
      </c>
      <c r="B430" t="s">
        <v>16</v>
      </c>
      <c r="C430">
        <v>768</v>
      </c>
      <c r="D430">
        <v>21390</v>
      </c>
      <c r="E430">
        <v>86</v>
      </c>
      <c r="F430">
        <v>14.62</v>
      </c>
      <c r="G430" s="1">
        <v>100.62</v>
      </c>
      <c r="H430" s="154">
        <v>44440</v>
      </c>
    </row>
    <row r="431" spans="1:8">
      <c r="A431" t="s">
        <v>17</v>
      </c>
      <c r="B431" t="s">
        <v>20</v>
      </c>
      <c r="C431">
        <v>769</v>
      </c>
      <c r="D431">
        <v>21391</v>
      </c>
      <c r="E431">
        <v>7.5</v>
      </c>
      <c r="F431">
        <v>1.28</v>
      </c>
      <c r="G431" s="1">
        <v>8.7799999999999994</v>
      </c>
      <c r="H431" s="154">
        <v>44440</v>
      </c>
    </row>
    <row r="432" spans="1:8">
      <c r="A432" t="s">
        <v>17</v>
      </c>
      <c r="B432" t="s">
        <v>79</v>
      </c>
      <c r="C432">
        <v>770</v>
      </c>
      <c r="D432">
        <v>21392</v>
      </c>
      <c r="E432">
        <v>102</v>
      </c>
      <c r="F432">
        <v>17.34</v>
      </c>
      <c r="G432" s="1">
        <v>119.34</v>
      </c>
      <c r="H432" s="154">
        <v>44440</v>
      </c>
    </row>
    <row r="433" spans="1:8">
      <c r="A433" t="s">
        <v>56</v>
      </c>
      <c r="B433" t="s">
        <v>55</v>
      </c>
      <c r="C433">
        <v>771</v>
      </c>
      <c r="D433">
        <v>21393</v>
      </c>
      <c r="E433">
        <v>25.6</v>
      </c>
      <c r="F433">
        <v>4.3499999999999996</v>
      </c>
      <c r="G433" s="1">
        <v>29.95</v>
      </c>
      <c r="H433" s="154">
        <v>44440</v>
      </c>
    </row>
    <row r="434" spans="1:8">
      <c r="A434" t="s">
        <v>71</v>
      </c>
      <c r="B434" t="s">
        <v>70</v>
      </c>
      <c r="C434">
        <v>772</v>
      </c>
      <c r="D434">
        <v>21394</v>
      </c>
      <c r="E434">
        <v>18</v>
      </c>
      <c r="F434">
        <v>3.06</v>
      </c>
      <c r="G434" s="1">
        <v>21.06</v>
      </c>
      <c r="H434" s="154">
        <v>44440</v>
      </c>
    </row>
    <row r="435" spans="1:8">
      <c r="A435" t="s">
        <v>85</v>
      </c>
      <c r="B435" t="s">
        <v>84</v>
      </c>
      <c r="C435">
        <v>773</v>
      </c>
      <c r="D435">
        <v>21395</v>
      </c>
      <c r="E435">
        <v>22</v>
      </c>
      <c r="F435">
        <v>3.74</v>
      </c>
      <c r="G435" s="1">
        <v>25.74</v>
      </c>
      <c r="H435" s="154">
        <v>44440</v>
      </c>
    </row>
    <row r="436" spans="1:8">
      <c r="A436" t="s">
        <v>76</v>
      </c>
      <c r="B436" t="s">
        <v>75</v>
      </c>
      <c r="C436">
        <v>774</v>
      </c>
      <c r="D436">
        <v>21396</v>
      </c>
      <c r="E436">
        <v>96.7</v>
      </c>
      <c r="F436">
        <v>16.440000000000001</v>
      </c>
      <c r="G436" s="1">
        <v>113.14</v>
      </c>
      <c r="H436" s="154">
        <v>44440</v>
      </c>
    </row>
    <row r="437" spans="1:8">
      <c r="A437" t="s">
        <v>93</v>
      </c>
      <c r="B437" t="s">
        <v>92</v>
      </c>
      <c r="C437">
        <v>775</v>
      </c>
      <c r="D437">
        <v>21397</v>
      </c>
      <c r="E437">
        <v>56.9</v>
      </c>
      <c r="F437">
        <v>9.67</v>
      </c>
      <c r="G437" s="1">
        <v>66.569999999999993</v>
      </c>
      <c r="H437" s="154">
        <v>44440</v>
      </c>
    </row>
    <row r="438" spans="1:8">
      <c r="A438" t="s">
        <v>97</v>
      </c>
      <c r="B438" t="s">
        <v>96</v>
      </c>
      <c r="C438">
        <v>776</v>
      </c>
      <c r="D438">
        <v>21398</v>
      </c>
      <c r="E438">
        <v>70</v>
      </c>
      <c r="F438">
        <v>11.9</v>
      </c>
      <c r="G438" s="1">
        <v>81.900000000000006</v>
      </c>
      <c r="H438" s="154">
        <v>44440</v>
      </c>
    </row>
    <row r="439" spans="1:8">
      <c r="A439" t="s">
        <v>61</v>
      </c>
      <c r="B439" t="s">
        <v>60</v>
      </c>
      <c r="C439">
        <v>777</v>
      </c>
      <c r="D439">
        <v>21399</v>
      </c>
      <c r="E439">
        <v>24.8</v>
      </c>
      <c r="F439">
        <v>4.22</v>
      </c>
      <c r="G439" s="1">
        <v>29.02</v>
      </c>
      <c r="H439" s="154">
        <v>44440</v>
      </c>
    </row>
    <row r="440" spans="1:8">
      <c r="A440" t="s">
        <v>120</v>
      </c>
      <c r="B440" t="s">
        <v>119</v>
      </c>
      <c r="C440">
        <v>778</v>
      </c>
      <c r="D440">
        <v>21400</v>
      </c>
      <c r="E440">
        <v>26.4</v>
      </c>
      <c r="F440">
        <v>4.49</v>
      </c>
      <c r="G440" s="1">
        <v>30.89</v>
      </c>
      <c r="H440" s="154">
        <v>44440</v>
      </c>
    </row>
    <row r="441" spans="1:8">
      <c r="A441" t="s">
        <v>9</v>
      </c>
      <c r="B441" t="s">
        <v>8</v>
      </c>
      <c r="C441">
        <v>779</v>
      </c>
      <c r="D441">
        <v>21401</v>
      </c>
      <c r="E441">
        <v>126.6</v>
      </c>
      <c r="F441">
        <v>21.52</v>
      </c>
      <c r="G441" s="1">
        <v>148.12</v>
      </c>
      <c r="H441" s="154">
        <v>44447</v>
      </c>
    </row>
    <row r="442" spans="1:8">
      <c r="A442" t="s">
        <v>9</v>
      </c>
      <c r="B442" t="s">
        <v>15</v>
      </c>
      <c r="C442">
        <v>780</v>
      </c>
      <c r="D442">
        <v>21402</v>
      </c>
      <c r="E442">
        <v>42.4</v>
      </c>
      <c r="F442">
        <v>7.21</v>
      </c>
      <c r="G442" s="1">
        <v>49.61</v>
      </c>
      <c r="H442" s="154">
        <v>44447</v>
      </c>
    </row>
    <row r="443" spans="1:8">
      <c r="A443" t="s">
        <v>17</v>
      </c>
      <c r="B443" t="s">
        <v>16</v>
      </c>
      <c r="C443">
        <v>781</v>
      </c>
      <c r="D443">
        <v>21403</v>
      </c>
      <c r="E443">
        <v>64.8</v>
      </c>
      <c r="F443">
        <v>11.02</v>
      </c>
      <c r="G443" s="1">
        <v>75.819999999999993</v>
      </c>
      <c r="H443" s="154">
        <v>44447</v>
      </c>
    </row>
    <row r="444" spans="1:8">
      <c r="A444" t="s">
        <v>17</v>
      </c>
      <c r="B444" t="s">
        <v>20</v>
      </c>
      <c r="C444">
        <v>782</v>
      </c>
      <c r="D444">
        <v>21404</v>
      </c>
      <c r="E444">
        <v>17.5</v>
      </c>
      <c r="F444">
        <v>2.98</v>
      </c>
      <c r="G444" s="1">
        <v>20.48</v>
      </c>
      <c r="H444" s="154">
        <v>44447</v>
      </c>
    </row>
    <row r="445" spans="1:8">
      <c r="A445" t="s">
        <v>56</v>
      </c>
      <c r="B445" t="s">
        <v>55</v>
      </c>
      <c r="C445">
        <v>783</v>
      </c>
      <c r="D445">
        <v>21405</v>
      </c>
      <c r="E445">
        <v>5.3</v>
      </c>
      <c r="F445">
        <v>0.9</v>
      </c>
      <c r="G445" s="1">
        <v>6.2</v>
      </c>
      <c r="H445" s="154">
        <v>44447</v>
      </c>
    </row>
    <row r="446" spans="1:8">
      <c r="A446" t="s">
        <v>17</v>
      </c>
      <c r="B446" t="s">
        <v>79</v>
      </c>
      <c r="C446">
        <v>784</v>
      </c>
      <c r="D446">
        <v>21406</v>
      </c>
      <c r="E446">
        <v>101.4</v>
      </c>
      <c r="F446">
        <v>17.239999999999998</v>
      </c>
      <c r="G446" s="1">
        <v>118.64</v>
      </c>
      <c r="H446" s="154">
        <v>44447</v>
      </c>
    </row>
    <row r="447" spans="1:8">
      <c r="A447" t="s">
        <v>56</v>
      </c>
      <c r="B447" t="s">
        <v>55</v>
      </c>
      <c r="C447">
        <v>785</v>
      </c>
      <c r="D447">
        <v>21407</v>
      </c>
      <c r="E447">
        <v>22.8</v>
      </c>
      <c r="F447">
        <v>3.88</v>
      </c>
      <c r="G447" s="1">
        <v>26.68</v>
      </c>
      <c r="H447" s="154">
        <v>44447</v>
      </c>
    </row>
    <row r="448" spans="1:8">
      <c r="A448" t="s">
        <v>71</v>
      </c>
      <c r="B448" t="s">
        <v>70</v>
      </c>
      <c r="C448">
        <v>786</v>
      </c>
      <c r="D448">
        <v>21408</v>
      </c>
      <c r="E448">
        <v>18</v>
      </c>
      <c r="F448">
        <v>3.06</v>
      </c>
      <c r="G448" s="1">
        <v>21.06</v>
      </c>
      <c r="H448" s="154">
        <v>44447</v>
      </c>
    </row>
    <row r="449" spans="1:8">
      <c r="A449" t="s">
        <v>40</v>
      </c>
      <c r="B449" t="s">
        <v>39</v>
      </c>
      <c r="C449">
        <v>787</v>
      </c>
      <c r="D449">
        <v>21409</v>
      </c>
      <c r="E449">
        <v>24.5</v>
      </c>
      <c r="F449">
        <v>4.17</v>
      </c>
      <c r="G449" s="1">
        <v>28.67</v>
      </c>
      <c r="H449" s="154">
        <v>44447</v>
      </c>
    </row>
    <row r="450" spans="1:8">
      <c r="A450" t="s">
        <v>85</v>
      </c>
      <c r="B450" t="s">
        <v>84</v>
      </c>
      <c r="C450">
        <v>788</v>
      </c>
      <c r="D450">
        <v>21410</v>
      </c>
      <c r="E450">
        <v>22</v>
      </c>
      <c r="F450">
        <v>3.74</v>
      </c>
      <c r="G450" s="1">
        <v>25.74</v>
      </c>
      <c r="H450" s="154">
        <v>44447</v>
      </c>
    </row>
    <row r="451" spans="1:8">
      <c r="A451" t="s">
        <v>76</v>
      </c>
      <c r="B451" t="s">
        <v>75</v>
      </c>
      <c r="C451">
        <v>789</v>
      </c>
      <c r="D451">
        <v>21411</v>
      </c>
      <c r="E451">
        <v>96.2</v>
      </c>
      <c r="F451">
        <v>16.350000000000001</v>
      </c>
      <c r="G451" s="1">
        <v>112.55</v>
      </c>
      <c r="H451" s="154">
        <v>44447</v>
      </c>
    </row>
    <row r="452" spans="1:8">
      <c r="A452" t="s">
        <v>93</v>
      </c>
      <c r="B452" t="s">
        <v>92</v>
      </c>
      <c r="C452">
        <v>790</v>
      </c>
      <c r="D452">
        <v>21412</v>
      </c>
      <c r="E452">
        <v>56.9</v>
      </c>
      <c r="F452">
        <v>9.67</v>
      </c>
      <c r="G452" s="1">
        <v>66.569999999999993</v>
      </c>
      <c r="H452" s="154">
        <v>44447</v>
      </c>
    </row>
    <row r="453" spans="1:8">
      <c r="A453" t="s">
        <v>97</v>
      </c>
      <c r="B453" t="s">
        <v>96</v>
      </c>
      <c r="C453">
        <v>791</v>
      </c>
      <c r="D453">
        <v>21413</v>
      </c>
      <c r="E453">
        <v>70</v>
      </c>
      <c r="F453">
        <v>11.9</v>
      </c>
      <c r="G453" s="1">
        <v>81.900000000000006</v>
      </c>
      <c r="H453" s="154">
        <v>44447</v>
      </c>
    </row>
    <row r="454" spans="1:8">
      <c r="A454" t="s">
        <v>61</v>
      </c>
      <c r="B454" t="s">
        <v>60</v>
      </c>
      <c r="C454">
        <v>792</v>
      </c>
      <c r="D454">
        <v>21414</v>
      </c>
      <c r="E454">
        <v>24.8</v>
      </c>
      <c r="F454">
        <v>4.22</v>
      </c>
      <c r="G454" s="1">
        <v>29.02</v>
      </c>
      <c r="H454" s="154">
        <v>44447</v>
      </c>
    </row>
    <row r="455" spans="1:8">
      <c r="A455" t="s">
        <v>120</v>
      </c>
      <c r="B455" t="s">
        <v>119</v>
      </c>
      <c r="C455">
        <v>793</v>
      </c>
      <c r="D455">
        <v>21415</v>
      </c>
      <c r="E455">
        <v>16.5</v>
      </c>
      <c r="F455">
        <v>2.81</v>
      </c>
      <c r="G455" s="1">
        <v>19.309999999999999</v>
      </c>
      <c r="H455" s="154">
        <v>44447</v>
      </c>
    </row>
    <row r="456" spans="1:8">
      <c r="A456" t="s">
        <v>272</v>
      </c>
      <c r="B456" t="s">
        <v>273</v>
      </c>
      <c r="C456">
        <v>794</v>
      </c>
      <c r="D456">
        <v>21416</v>
      </c>
      <c r="E456">
        <v>4373.46</v>
      </c>
      <c r="F456">
        <v>743.49</v>
      </c>
      <c r="G456" s="1">
        <v>5116.95</v>
      </c>
      <c r="H456" s="154">
        <v>44449</v>
      </c>
    </row>
    <row r="457" spans="1:8">
      <c r="A457" t="s">
        <v>274</v>
      </c>
      <c r="B457" t="s">
        <v>109</v>
      </c>
      <c r="C457">
        <v>795</v>
      </c>
      <c r="D457">
        <v>21417</v>
      </c>
      <c r="E457">
        <v>12537</v>
      </c>
      <c r="F457">
        <v>2121.29</v>
      </c>
      <c r="G457" s="1">
        <v>14668.29</v>
      </c>
      <c r="H457" s="154">
        <v>44449</v>
      </c>
    </row>
    <row r="458" spans="1:8">
      <c r="A458" t="s">
        <v>9</v>
      </c>
      <c r="B458" t="s">
        <v>8</v>
      </c>
      <c r="C458">
        <v>796</v>
      </c>
      <c r="D458">
        <v>21418</v>
      </c>
      <c r="E458">
        <v>143.1</v>
      </c>
      <c r="F458">
        <v>24.33</v>
      </c>
      <c r="G458" s="1">
        <v>167.43</v>
      </c>
      <c r="H458" s="154">
        <v>44454</v>
      </c>
    </row>
    <row r="459" spans="1:8">
      <c r="A459" t="s">
        <v>9</v>
      </c>
      <c r="B459" t="s">
        <v>15</v>
      </c>
      <c r="C459">
        <v>797</v>
      </c>
      <c r="D459">
        <v>21419</v>
      </c>
      <c r="E459">
        <v>34.299999999999997</v>
      </c>
      <c r="F459">
        <v>5.83</v>
      </c>
      <c r="G459" s="1">
        <v>40.130000000000003</v>
      </c>
      <c r="H459" s="154">
        <v>44454</v>
      </c>
    </row>
    <row r="460" spans="1:8">
      <c r="A460" t="s">
        <v>17</v>
      </c>
      <c r="B460" t="s">
        <v>16</v>
      </c>
      <c r="C460">
        <v>798</v>
      </c>
      <c r="D460">
        <v>21420</v>
      </c>
      <c r="E460">
        <v>31.5</v>
      </c>
      <c r="F460">
        <v>5.36</v>
      </c>
      <c r="G460" s="1">
        <v>36.86</v>
      </c>
      <c r="H460" s="154">
        <v>44454</v>
      </c>
    </row>
    <row r="461" spans="1:8">
      <c r="A461" t="s">
        <v>17</v>
      </c>
      <c r="B461" t="s">
        <v>20</v>
      </c>
      <c r="C461">
        <v>799</v>
      </c>
      <c r="D461">
        <v>21421</v>
      </c>
      <c r="E461">
        <v>26.5</v>
      </c>
      <c r="F461">
        <v>4.51</v>
      </c>
      <c r="G461" s="1">
        <v>31.01</v>
      </c>
      <c r="H461" s="154">
        <v>44454</v>
      </c>
    </row>
    <row r="462" spans="1:8">
      <c r="A462" t="s">
        <v>56</v>
      </c>
      <c r="B462" t="s">
        <v>55</v>
      </c>
      <c r="C462">
        <v>800</v>
      </c>
      <c r="D462">
        <v>21422</v>
      </c>
      <c r="E462">
        <v>88.7</v>
      </c>
      <c r="F462">
        <v>15.08</v>
      </c>
      <c r="G462" s="1">
        <v>103.78</v>
      </c>
      <c r="H462" s="154">
        <v>44454</v>
      </c>
    </row>
    <row r="463" spans="1:8">
      <c r="A463" t="s">
        <v>17</v>
      </c>
      <c r="B463" t="s">
        <v>79</v>
      </c>
      <c r="C463">
        <v>801</v>
      </c>
      <c r="D463">
        <v>21423</v>
      </c>
      <c r="E463">
        <v>66.400000000000006</v>
      </c>
      <c r="F463">
        <v>11.29</v>
      </c>
      <c r="G463" s="1">
        <v>77.69</v>
      </c>
      <c r="H463" s="154">
        <v>44454</v>
      </c>
    </row>
    <row r="464" spans="1:8">
      <c r="A464" t="s">
        <v>56</v>
      </c>
      <c r="B464" t="s">
        <v>55</v>
      </c>
      <c r="C464">
        <v>802</v>
      </c>
      <c r="D464">
        <v>21424</v>
      </c>
      <c r="E464">
        <v>54.48</v>
      </c>
      <c r="F464">
        <v>9.26</v>
      </c>
      <c r="G464" s="1">
        <v>63.74</v>
      </c>
      <c r="H464" s="154">
        <v>44454</v>
      </c>
    </row>
    <row r="465" spans="1:8">
      <c r="A465" t="s">
        <v>71</v>
      </c>
      <c r="B465" t="s">
        <v>70</v>
      </c>
      <c r="C465">
        <v>803</v>
      </c>
      <c r="D465">
        <v>21425</v>
      </c>
      <c r="E465">
        <v>18</v>
      </c>
      <c r="F465">
        <v>3.06</v>
      </c>
      <c r="G465" s="1">
        <v>21.06</v>
      </c>
      <c r="H465" s="154">
        <v>44454</v>
      </c>
    </row>
    <row r="466" spans="1:8">
      <c r="A466" t="s">
        <v>40</v>
      </c>
      <c r="B466" t="s">
        <v>39</v>
      </c>
      <c r="C466">
        <v>804</v>
      </c>
      <c r="D466">
        <v>21426</v>
      </c>
      <c r="E466">
        <v>21</v>
      </c>
      <c r="F466">
        <v>3.57</v>
      </c>
      <c r="G466" s="1">
        <v>24.57</v>
      </c>
      <c r="H466" s="154">
        <v>44454</v>
      </c>
    </row>
    <row r="467" spans="1:8">
      <c r="A467" t="s">
        <v>85</v>
      </c>
      <c r="B467" t="s">
        <v>84</v>
      </c>
      <c r="C467">
        <v>805</v>
      </c>
      <c r="D467">
        <v>21427</v>
      </c>
      <c r="E467">
        <v>22</v>
      </c>
      <c r="F467">
        <v>3.74</v>
      </c>
      <c r="G467" s="1">
        <v>25.74</v>
      </c>
      <c r="H467" s="154">
        <v>44454</v>
      </c>
    </row>
    <row r="468" spans="1:8">
      <c r="A468" t="s">
        <v>76</v>
      </c>
      <c r="B468" t="s">
        <v>75</v>
      </c>
      <c r="C468">
        <v>806</v>
      </c>
      <c r="D468">
        <v>21428</v>
      </c>
      <c r="E468">
        <v>50.1</v>
      </c>
      <c r="F468">
        <v>8.52</v>
      </c>
      <c r="G468" s="1">
        <v>58.62</v>
      </c>
      <c r="H468" s="154">
        <v>44454</v>
      </c>
    </row>
    <row r="469" spans="1:8">
      <c r="A469" t="s">
        <v>93</v>
      </c>
      <c r="B469" t="s">
        <v>92</v>
      </c>
      <c r="C469">
        <v>807</v>
      </c>
      <c r="D469">
        <v>21429</v>
      </c>
      <c r="E469">
        <v>56.9</v>
      </c>
      <c r="F469">
        <v>9.67</v>
      </c>
      <c r="G469" s="1">
        <v>66.569999999999993</v>
      </c>
      <c r="H469" s="154">
        <v>44454</v>
      </c>
    </row>
    <row r="470" spans="1:8">
      <c r="A470" t="s">
        <v>97</v>
      </c>
      <c r="B470" t="s">
        <v>96</v>
      </c>
      <c r="C470">
        <v>808</v>
      </c>
      <c r="D470">
        <v>21430</v>
      </c>
      <c r="E470">
        <v>70</v>
      </c>
      <c r="F470">
        <v>11.9</v>
      </c>
      <c r="G470" s="1">
        <v>81.900000000000006</v>
      </c>
      <c r="H470" s="154">
        <v>44454</v>
      </c>
    </row>
    <row r="471" spans="1:8">
      <c r="A471" t="s">
        <v>61</v>
      </c>
      <c r="B471" t="s">
        <v>60</v>
      </c>
      <c r="C471">
        <v>809</v>
      </c>
      <c r="D471">
        <v>21431</v>
      </c>
      <c r="E471">
        <v>24.8</v>
      </c>
      <c r="F471">
        <v>4.22</v>
      </c>
      <c r="G471" s="1">
        <v>29.02</v>
      </c>
      <c r="H471" s="154">
        <v>44454</v>
      </c>
    </row>
    <row r="472" spans="1:8">
      <c r="A472" t="s">
        <v>120</v>
      </c>
      <c r="B472" t="s">
        <v>119</v>
      </c>
      <c r="C472">
        <v>810</v>
      </c>
      <c r="D472">
        <v>21432</v>
      </c>
      <c r="E472">
        <v>16.5</v>
      </c>
      <c r="F472">
        <v>2.81</v>
      </c>
      <c r="G472" s="1">
        <v>19.309999999999999</v>
      </c>
      <c r="H472" s="154">
        <v>44454</v>
      </c>
    </row>
    <row r="473" spans="1:8">
      <c r="A473" t="s">
        <v>9</v>
      </c>
      <c r="B473" t="s">
        <v>8</v>
      </c>
      <c r="C473">
        <v>811</v>
      </c>
      <c r="D473">
        <v>21433</v>
      </c>
      <c r="E473">
        <v>175.8</v>
      </c>
      <c r="F473">
        <v>29.89</v>
      </c>
      <c r="G473" s="1">
        <v>205.69</v>
      </c>
      <c r="H473" s="154">
        <v>44461</v>
      </c>
    </row>
    <row r="474" spans="1:8">
      <c r="A474" t="s">
        <v>9</v>
      </c>
      <c r="B474" t="s">
        <v>15</v>
      </c>
      <c r="C474">
        <v>812</v>
      </c>
      <c r="D474">
        <v>21434</v>
      </c>
      <c r="E474">
        <v>28.7</v>
      </c>
      <c r="F474">
        <v>4.88</v>
      </c>
      <c r="G474" s="1">
        <v>33.58</v>
      </c>
      <c r="H474" s="154">
        <v>44461</v>
      </c>
    </row>
    <row r="475" spans="1:8">
      <c r="A475" t="s">
        <v>17</v>
      </c>
      <c r="B475" t="s">
        <v>16</v>
      </c>
      <c r="C475">
        <v>813</v>
      </c>
      <c r="D475">
        <v>21435</v>
      </c>
      <c r="E475">
        <v>66.099999999999994</v>
      </c>
      <c r="F475">
        <v>11.24</v>
      </c>
      <c r="G475" s="1">
        <v>77.34</v>
      </c>
      <c r="H475" s="154">
        <v>44461</v>
      </c>
    </row>
    <row r="476" spans="1:8">
      <c r="A476" t="s">
        <v>17</v>
      </c>
      <c r="B476" t="s">
        <v>20</v>
      </c>
      <c r="C476">
        <v>814</v>
      </c>
      <c r="D476">
        <v>21436</v>
      </c>
      <c r="E476">
        <v>14</v>
      </c>
      <c r="F476">
        <v>2.38</v>
      </c>
      <c r="G476" s="1">
        <v>16.38</v>
      </c>
      <c r="H476" s="154">
        <v>44461</v>
      </c>
    </row>
    <row r="477" spans="1:8">
      <c r="A477" t="s">
        <v>56</v>
      </c>
      <c r="B477" t="s">
        <v>55</v>
      </c>
      <c r="C477">
        <v>815</v>
      </c>
      <c r="D477">
        <v>21437</v>
      </c>
      <c r="E477">
        <v>40</v>
      </c>
      <c r="F477">
        <v>6.8</v>
      </c>
      <c r="G477" s="1">
        <v>46.8</v>
      </c>
      <c r="H477" s="154">
        <v>44461</v>
      </c>
    </row>
    <row r="478" spans="1:8">
      <c r="A478" t="s">
        <v>17</v>
      </c>
      <c r="B478" t="s">
        <v>79</v>
      </c>
      <c r="C478">
        <v>816</v>
      </c>
      <c r="D478">
        <v>21438</v>
      </c>
      <c r="E478">
        <v>92.8</v>
      </c>
      <c r="F478">
        <v>15.78</v>
      </c>
      <c r="G478" s="1">
        <v>108.58</v>
      </c>
      <c r="H478" s="154">
        <v>44461</v>
      </c>
    </row>
    <row r="479" spans="1:8">
      <c r="A479" t="s">
        <v>56</v>
      </c>
      <c r="B479" t="s">
        <v>55</v>
      </c>
      <c r="C479">
        <v>817</v>
      </c>
      <c r="D479">
        <v>21439</v>
      </c>
      <c r="E479">
        <v>19.440000000000001</v>
      </c>
      <c r="F479">
        <v>3.3</v>
      </c>
      <c r="G479" s="1">
        <v>22.74</v>
      </c>
      <c r="H479" s="154">
        <v>44461</v>
      </c>
    </row>
    <row r="480" spans="1:8">
      <c r="A480" t="s">
        <v>71</v>
      </c>
      <c r="B480" t="s">
        <v>70</v>
      </c>
      <c r="C480">
        <v>818</v>
      </c>
      <c r="D480">
        <v>21440</v>
      </c>
      <c r="E480">
        <v>18</v>
      </c>
      <c r="F480">
        <v>3.06</v>
      </c>
      <c r="G480" s="1">
        <v>21.06</v>
      </c>
      <c r="H480" s="154">
        <v>44461</v>
      </c>
    </row>
    <row r="481" spans="1:8">
      <c r="A481" t="s">
        <v>40</v>
      </c>
      <c r="B481" t="s">
        <v>39</v>
      </c>
      <c r="C481">
        <v>819</v>
      </c>
      <c r="D481">
        <v>21441</v>
      </c>
      <c r="E481">
        <v>10.5</v>
      </c>
      <c r="F481">
        <v>1.79</v>
      </c>
      <c r="G481" s="1">
        <v>12.29</v>
      </c>
      <c r="H481" s="154">
        <v>44461</v>
      </c>
    </row>
    <row r="482" spans="1:8">
      <c r="A482" t="s">
        <v>85</v>
      </c>
      <c r="B482" t="s">
        <v>84</v>
      </c>
      <c r="C482">
        <v>820</v>
      </c>
      <c r="D482">
        <v>21442</v>
      </c>
      <c r="E482">
        <v>22</v>
      </c>
      <c r="F482">
        <v>3.74</v>
      </c>
      <c r="G482" s="1">
        <v>25.74</v>
      </c>
      <c r="H482" s="154">
        <v>44461</v>
      </c>
    </row>
    <row r="483" spans="1:8">
      <c r="A483" t="s">
        <v>76</v>
      </c>
      <c r="B483" t="s">
        <v>75</v>
      </c>
      <c r="C483">
        <v>821</v>
      </c>
      <c r="D483">
        <v>21443</v>
      </c>
      <c r="E483">
        <v>50.1</v>
      </c>
      <c r="F483">
        <v>8.52</v>
      </c>
      <c r="G483" s="1">
        <v>58.62</v>
      </c>
      <c r="H483" s="154">
        <v>44461</v>
      </c>
    </row>
    <row r="484" spans="1:8">
      <c r="A484" t="s">
        <v>93</v>
      </c>
      <c r="B484" t="s">
        <v>92</v>
      </c>
      <c r="C484">
        <v>822</v>
      </c>
      <c r="D484">
        <v>21444</v>
      </c>
      <c r="E484">
        <v>52.9</v>
      </c>
      <c r="F484">
        <v>8.99</v>
      </c>
      <c r="G484" s="1">
        <v>61.89</v>
      </c>
      <c r="H484" s="154">
        <v>44461</v>
      </c>
    </row>
    <row r="485" spans="1:8">
      <c r="A485" t="s">
        <v>97</v>
      </c>
      <c r="B485" t="s">
        <v>96</v>
      </c>
      <c r="C485">
        <v>823</v>
      </c>
      <c r="D485">
        <v>21445</v>
      </c>
      <c r="E485">
        <v>70</v>
      </c>
      <c r="F485">
        <v>11.9</v>
      </c>
      <c r="G485" s="1">
        <v>81.900000000000006</v>
      </c>
      <c r="H485" s="154">
        <v>44461</v>
      </c>
    </row>
    <row r="486" spans="1:8">
      <c r="A486" t="s">
        <v>120</v>
      </c>
      <c r="B486" t="s">
        <v>119</v>
      </c>
      <c r="C486">
        <v>824</v>
      </c>
      <c r="D486">
        <v>21446</v>
      </c>
      <c r="E486">
        <v>19.8</v>
      </c>
      <c r="F486">
        <v>3.37</v>
      </c>
      <c r="G486" s="1">
        <v>23.17</v>
      </c>
      <c r="H486" s="154">
        <v>44461</v>
      </c>
    </row>
    <row r="487" spans="1:8">
      <c r="A487" t="s">
        <v>61</v>
      </c>
      <c r="B487" t="s">
        <v>60</v>
      </c>
      <c r="C487">
        <v>827</v>
      </c>
      <c r="D487">
        <v>21447</v>
      </c>
      <c r="E487">
        <v>24.8</v>
      </c>
      <c r="F487">
        <v>4.22</v>
      </c>
      <c r="G487" s="1">
        <v>29.02</v>
      </c>
      <c r="H487" s="154">
        <v>44461</v>
      </c>
    </row>
    <row r="488" spans="1:8">
      <c r="A488" t="s">
        <v>9</v>
      </c>
      <c r="B488" t="s">
        <v>8</v>
      </c>
      <c r="C488">
        <v>828</v>
      </c>
      <c r="D488">
        <v>21448</v>
      </c>
      <c r="E488">
        <v>130.5</v>
      </c>
      <c r="F488">
        <v>22.19</v>
      </c>
      <c r="G488" s="1">
        <v>152.69</v>
      </c>
      <c r="H488" s="154">
        <v>44468</v>
      </c>
    </row>
    <row r="489" spans="1:8">
      <c r="A489" t="s">
        <v>9</v>
      </c>
      <c r="B489" t="s">
        <v>15</v>
      </c>
      <c r="C489">
        <v>829</v>
      </c>
      <c r="D489">
        <v>21449</v>
      </c>
      <c r="E489">
        <v>18.7</v>
      </c>
      <c r="F489">
        <v>3.18</v>
      </c>
      <c r="G489" s="1">
        <v>21.88</v>
      </c>
      <c r="H489" s="154">
        <v>44468</v>
      </c>
    </row>
    <row r="490" spans="1:8">
      <c r="A490" t="s">
        <v>17</v>
      </c>
      <c r="B490" t="s">
        <v>16</v>
      </c>
      <c r="C490">
        <v>830</v>
      </c>
      <c r="D490">
        <v>21450</v>
      </c>
      <c r="E490">
        <v>69.8</v>
      </c>
      <c r="F490">
        <v>11.87</v>
      </c>
      <c r="G490" s="1">
        <v>81.67</v>
      </c>
      <c r="H490" s="154">
        <v>44468</v>
      </c>
    </row>
    <row r="491" spans="1:8">
      <c r="A491" t="s">
        <v>17</v>
      </c>
      <c r="B491" t="s">
        <v>20</v>
      </c>
      <c r="C491">
        <v>831</v>
      </c>
      <c r="D491">
        <v>21451</v>
      </c>
      <c r="E491">
        <v>23.7</v>
      </c>
      <c r="F491">
        <v>4.03</v>
      </c>
      <c r="G491" s="1">
        <v>27.73</v>
      </c>
      <c r="H491" s="154">
        <v>44468</v>
      </c>
    </row>
    <row r="492" spans="1:8">
      <c r="A492" t="s">
        <v>17</v>
      </c>
      <c r="B492" t="s">
        <v>79</v>
      </c>
      <c r="C492">
        <v>832</v>
      </c>
      <c r="D492">
        <v>21452</v>
      </c>
      <c r="E492">
        <v>121.2</v>
      </c>
      <c r="F492">
        <v>20.6</v>
      </c>
      <c r="G492" s="1">
        <v>141.80000000000001</v>
      </c>
      <c r="H492" s="154">
        <v>44468</v>
      </c>
    </row>
    <row r="493" spans="1:8">
      <c r="A493" t="s">
        <v>56</v>
      </c>
      <c r="B493" t="s">
        <v>55</v>
      </c>
      <c r="C493">
        <v>833</v>
      </c>
      <c r="D493">
        <v>21453</v>
      </c>
      <c r="E493">
        <v>34.08</v>
      </c>
      <c r="F493">
        <v>5.79</v>
      </c>
      <c r="G493" s="1">
        <v>39.869999999999997</v>
      </c>
      <c r="H493" s="154">
        <v>44468</v>
      </c>
    </row>
    <row r="494" spans="1:8">
      <c r="A494" t="s">
        <v>71</v>
      </c>
      <c r="B494" t="s">
        <v>70</v>
      </c>
      <c r="C494">
        <v>834</v>
      </c>
      <c r="D494">
        <v>21454</v>
      </c>
      <c r="E494">
        <v>18</v>
      </c>
      <c r="F494">
        <v>3.06</v>
      </c>
      <c r="G494" s="1">
        <v>21.06</v>
      </c>
      <c r="H494" s="154">
        <v>44468</v>
      </c>
    </row>
    <row r="495" spans="1:8">
      <c r="A495" t="s">
        <v>40</v>
      </c>
      <c r="B495" t="s">
        <v>39</v>
      </c>
      <c r="C495">
        <v>835</v>
      </c>
      <c r="D495">
        <v>21455</v>
      </c>
      <c r="E495">
        <v>21</v>
      </c>
      <c r="F495">
        <v>3.57</v>
      </c>
      <c r="G495" s="1">
        <v>24.57</v>
      </c>
      <c r="H495" s="154">
        <v>44468</v>
      </c>
    </row>
    <row r="496" spans="1:8">
      <c r="A496" t="s">
        <v>85</v>
      </c>
      <c r="B496" t="s">
        <v>84</v>
      </c>
      <c r="C496">
        <v>836</v>
      </c>
      <c r="D496">
        <v>21456</v>
      </c>
      <c r="E496">
        <v>22</v>
      </c>
      <c r="F496">
        <v>3.74</v>
      </c>
      <c r="G496" s="1">
        <v>25.74</v>
      </c>
      <c r="H496" s="154">
        <v>44468</v>
      </c>
    </row>
    <row r="497" spans="1:8">
      <c r="A497" t="s">
        <v>76</v>
      </c>
      <c r="B497" t="s">
        <v>75</v>
      </c>
      <c r="C497">
        <v>837</v>
      </c>
      <c r="D497">
        <v>21457</v>
      </c>
      <c r="E497">
        <v>50.1</v>
      </c>
      <c r="F497">
        <v>8.52</v>
      </c>
      <c r="G497" s="1">
        <v>58.62</v>
      </c>
      <c r="H497" s="154">
        <v>44468</v>
      </c>
    </row>
    <row r="498" spans="1:8">
      <c r="A498" t="s">
        <v>93</v>
      </c>
      <c r="B498" t="s">
        <v>92</v>
      </c>
      <c r="C498">
        <v>838</v>
      </c>
      <c r="D498">
        <v>21458</v>
      </c>
      <c r="E498">
        <v>69.599999999999994</v>
      </c>
      <c r="F498">
        <v>11.83</v>
      </c>
      <c r="G498" s="1">
        <v>81.430000000000007</v>
      </c>
      <c r="H498" s="154">
        <v>44468</v>
      </c>
    </row>
    <row r="499" spans="1:8">
      <c r="A499" t="s">
        <v>97</v>
      </c>
      <c r="B499" t="s">
        <v>96</v>
      </c>
      <c r="C499">
        <v>839</v>
      </c>
      <c r="D499">
        <v>21459</v>
      </c>
      <c r="E499">
        <v>70</v>
      </c>
      <c r="F499">
        <v>11.9</v>
      </c>
      <c r="G499" s="1">
        <v>81.900000000000006</v>
      </c>
      <c r="H499" s="154">
        <v>44468</v>
      </c>
    </row>
    <row r="500" spans="1:8">
      <c r="A500" t="s">
        <v>120</v>
      </c>
      <c r="B500" t="s">
        <v>119</v>
      </c>
      <c r="C500">
        <v>840</v>
      </c>
      <c r="D500">
        <v>21460</v>
      </c>
      <c r="E500">
        <v>19.8</v>
      </c>
      <c r="F500">
        <v>3.37</v>
      </c>
      <c r="G500" s="1">
        <v>23.17</v>
      </c>
      <c r="H500" s="154">
        <v>44468</v>
      </c>
    </row>
    <row r="501" spans="1:8">
      <c r="A501" t="s">
        <v>61</v>
      </c>
      <c r="B501" t="s">
        <v>60</v>
      </c>
      <c r="C501">
        <v>841</v>
      </c>
      <c r="D501">
        <v>21461</v>
      </c>
      <c r="E501">
        <v>14.5</v>
      </c>
      <c r="F501">
        <v>2.4700000000000002</v>
      </c>
      <c r="G501" s="1">
        <v>16.97</v>
      </c>
      <c r="H501" s="154">
        <v>44468</v>
      </c>
    </row>
    <row r="502" spans="1:8">
      <c r="E502">
        <f>SUM(E428:E501)</f>
        <v>20457.959999999995</v>
      </c>
      <c r="F502">
        <f>SUM(F428:F501)</f>
        <v>3467.9399999999991</v>
      </c>
    </row>
    <row r="512" spans="1:8">
      <c r="A512" t="s">
        <v>9</v>
      </c>
      <c r="B512" t="s">
        <v>8</v>
      </c>
      <c r="C512">
        <v>842</v>
      </c>
      <c r="D512">
        <v>21462</v>
      </c>
      <c r="E512">
        <v>129.30000000000001</v>
      </c>
      <c r="F512">
        <v>21.98</v>
      </c>
      <c r="G512" s="1">
        <v>151.28</v>
      </c>
      <c r="H512" s="154">
        <v>44475</v>
      </c>
    </row>
    <row r="513" spans="1:8">
      <c r="A513" t="s">
        <v>9</v>
      </c>
      <c r="B513" t="s">
        <v>15</v>
      </c>
      <c r="C513">
        <v>843</v>
      </c>
      <c r="D513">
        <v>21463</v>
      </c>
      <c r="E513">
        <v>40.799999999999997</v>
      </c>
      <c r="F513">
        <v>6.94</v>
      </c>
      <c r="G513" s="1">
        <v>47.74</v>
      </c>
      <c r="H513" s="154">
        <v>44475</v>
      </c>
    </row>
    <row r="514" spans="1:8">
      <c r="A514" t="s">
        <v>17</v>
      </c>
      <c r="B514" t="s">
        <v>16</v>
      </c>
      <c r="C514">
        <v>844</v>
      </c>
      <c r="D514">
        <v>21464</v>
      </c>
      <c r="E514">
        <v>145.19999999999999</v>
      </c>
      <c r="F514">
        <v>24.68</v>
      </c>
      <c r="G514" s="1">
        <v>169.88</v>
      </c>
      <c r="H514" s="154">
        <v>44475</v>
      </c>
    </row>
    <row r="515" spans="1:8">
      <c r="A515" t="s">
        <v>17</v>
      </c>
      <c r="B515" t="s">
        <v>20</v>
      </c>
      <c r="C515">
        <v>845</v>
      </c>
      <c r="D515">
        <v>21465</v>
      </c>
      <c r="E515">
        <v>48.3</v>
      </c>
      <c r="F515">
        <v>8.2100000000000009</v>
      </c>
      <c r="G515" s="1">
        <v>56.51</v>
      </c>
      <c r="H515" s="154">
        <v>44475</v>
      </c>
    </row>
    <row r="516" spans="1:8">
      <c r="A516" t="s">
        <v>56</v>
      </c>
      <c r="B516" t="s">
        <v>55</v>
      </c>
      <c r="C516">
        <v>846</v>
      </c>
      <c r="D516">
        <v>21466</v>
      </c>
      <c r="E516">
        <v>69</v>
      </c>
      <c r="F516">
        <v>11.73</v>
      </c>
      <c r="G516" s="1">
        <v>80.73</v>
      </c>
      <c r="H516" s="154">
        <v>44475</v>
      </c>
    </row>
    <row r="517" spans="1:8">
      <c r="A517" t="s">
        <v>17</v>
      </c>
      <c r="B517" t="s">
        <v>79</v>
      </c>
      <c r="C517">
        <v>847</v>
      </c>
      <c r="D517">
        <v>21467</v>
      </c>
      <c r="E517">
        <v>87.9</v>
      </c>
      <c r="F517">
        <v>14.94</v>
      </c>
      <c r="G517" s="1">
        <v>102.84</v>
      </c>
      <c r="H517" s="154">
        <v>44475</v>
      </c>
    </row>
    <row r="518" spans="1:8">
      <c r="A518" t="s">
        <v>56</v>
      </c>
      <c r="B518" t="s">
        <v>55</v>
      </c>
      <c r="C518">
        <v>848</v>
      </c>
      <c r="D518">
        <v>21468</v>
      </c>
      <c r="E518">
        <v>31.04</v>
      </c>
      <c r="F518">
        <v>5.28</v>
      </c>
      <c r="G518" s="1">
        <v>36.32</v>
      </c>
      <c r="H518" s="154">
        <v>44475</v>
      </c>
    </row>
    <row r="519" spans="1:8">
      <c r="A519" t="s">
        <v>71</v>
      </c>
      <c r="B519" t="s">
        <v>70</v>
      </c>
      <c r="C519">
        <v>849</v>
      </c>
      <c r="D519">
        <v>21469</v>
      </c>
      <c r="E519">
        <v>18</v>
      </c>
      <c r="F519">
        <v>3.06</v>
      </c>
      <c r="G519" s="1">
        <v>21.06</v>
      </c>
      <c r="H519" s="154">
        <v>44475</v>
      </c>
    </row>
    <row r="520" spans="1:8">
      <c r="A520" t="s">
        <v>40</v>
      </c>
      <c r="B520" t="s">
        <v>39</v>
      </c>
      <c r="C520">
        <v>850</v>
      </c>
      <c r="D520">
        <v>21470</v>
      </c>
      <c r="E520">
        <v>21</v>
      </c>
      <c r="F520">
        <v>3.57</v>
      </c>
      <c r="G520" s="1">
        <v>24.57</v>
      </c>
      <c r="H520" s="154">
        <v>44475</v>
      </c>
    </row>
    <row r="521" spans="1:8">
      <c r="A521" t="s">
        <v>85</v>
      </c>
      <c r="B521" t="s">
        <v>84</v>
      </c>
      <c r="C521">
        <v>851</v>
      </c>
      <c r="D521">
        <v>21471</v>
      </c>
      <c r="E521">
        <v>22</v>
      </c>
      <c r="F521">
        <v>3.74</v>
      </c>
      <c r="G521" s="1">
        <v>25.74</v>
      </c>
      <c r="H521" s="154">
        <v>44475</v>
      </c>
    </row>
    <row r="522" spans="1:8">
      <c r="A522" t="s">
        <v>76</v>
      </c>
      <c r="B522" t="s">
        <v>75</v>
      </c>
      <c r="C522">
        <v>852</v>
      </c>
      <c r="D522">
        <v>21472</v>
      </c>
      <c r="E522">
        <v>50.1</v>
      </c>
      <c r="F522">
        <v>8.52</v>
      </c>
      <c r="G522" s="1">
        <v>58.62</v>
      </c>
      <c r="H522" s="154">
        <v>44475</v>
      </c>
    </row>
    <row r="523" spans="1:8">
      <c r="A523" t="s">
        <v>93</v>
      </c>
      <c r="B523" t="s">
        <v>92</v>
      </c>
      <c r="C523">
        <v>853</v>
      </c>
      <c r="D523">
        <v>21473</v>
      </c>
      <c r="E523">
        <v>69.599999999999994</v>
      </c>
      <c r="F523">
        <v>11.83</v>
      </c>
      <c r="G523" s="1">
        <v>81.430000000000007</v>
      </c>
      <c r="H523" s="154">
        <v>44475</v>
      </c>
    </row>
    <row r="524" spans="1:8">
      <c r="A524" t="s">
        <v>97</v>
      </c>
      <c r="B524" t="s">
        <v>96</v>
      </c>
      <c r="C524">
        <v>854</v>
      </c>
      <c r="D524">
        <v>21474</v>
      </c>
      <c r="E524">
        <v>70</v>
      </c>
      <c r="F524">
        <v>11.9</v>
      </c>
      <c r="G524" s="1">
        <v>81.900000000000006</v>
      </c>
      <c r="H524" s="154">
        <v>44475</v>
      </c>
    </row>
    <row r="525" spans="1:8">
      <c r="A525" t="s">
        <v>120</v>
      </c>
      <c r="B525" t="s">
        <v>119</v>
      </c>
      <c r="C525">
        <v>855</v>
      </c>
      <c r="D525">
        <v>21475</v>
      </c>
      <c r="E525">
        <v>19.8</v>
      </c>
      <c r="F525">
        <v>3.37</v>
      </c>
      <c r="G525" s="1">
        <v>23.17</v>
      </c>
      <c r="H525" s="154">
        <v>44475</v>
      </c>
    </row>
    <row r="526" spans="1:8">
      <c r="A526" t="s">
        <v>61</v>
      </c>
      <c r="B526" t="s">
        <v>60</v>
      </c>
      <c r="C526">
        <v>856</v>
      </c>
      <c r="D526">
        <v>21476</v>
      </c>
      <c r="E526">
        <v>14.5</v>
      </c>
      <c r="F526">
        <v>2.4700000000000002</v>
      </c>
      <c r="G526" s="1">
        <v>16.97</v>
      </c>
      <c r="H526" s="154">
        <v>44475</v>
      </c>
    </row>
    <row r="527" spans="1:8">
      <c r="A527" t="s">
        <v>9</v>
      </c>
      <c r="B527" t="s">
        <v>8</v>
      </c>
      <c r="C527">
        <v>857</v>
      </c>
      <c r="D527">
        <v>21477</v>
      </c>
      <c r="E527">
        <v>186</v>
      </c>
      <c r="F527">
        <v>31.62</v>
      </c>
      <c r="G527" s="1">
        <v>217.62</v>
      </c>
      <c r="H527" s="154">
        <v>44482</v>
      </c>
    </row>
    <row r="528" spans="1:8">
      <c r="A528" t="s">
        <v>9</v>
      </c>
      <c r="B528" t="s">
        <v>15</v>
      </c>
      <c r="C528">
        <v>858</v>
      </c>
      <c r="D528">
        <v>21478</v>
      </c>
      <c r="E528">
        <v>21.8</v>
      </c>
      <c r="F528">
        <v>3.71</v>
      </c>
      <c r="G528" s="1">
        <v>25.51</v>
      </c>
      <c r="H528" s="154">
        <v>44482</v>
      </c>
    </row>
    <row r="529" spans="1:8">
      <c r="A529" t="s">
        <v>17</v>
      </c>
      <c r="B529" t="s">
        <v>16</v>
      </c>
      <c r="C529">
        <v>859</v>
      </c>
      <c r="D529">
        <v>21479</v>
      </c>
      <c r="E529">
        <v>96.3</v>
      </c>
      <c r="F529">
        <v>16.37</v>
      </c>
      <c r="G529" s="1">
        <v>112.67</v>
      </c>
      <c r="H529" s="154">
        <v>44482</v>
      </c>
    </row>
    <row r="530" spans="1:8">
      <c r="A530" t="s">
        <v>17</v>
      </c>
      <c r="B530" t="s">
        <v>20</v>
      </c>
      <c r="C530">
        <v>860</v>
      </c>
      <c r="D530">
        <v>21480</v>
      </c>
      <c r="E530">
        <v>26.8</v>
      </c>
      <c r="F530">
        <v>4.5599999999999996</v>
      </c>
      <c r="G530" s="1">
        <v>31.36</v>
      </c>
      <c r="H530" s="154">
        <v>44482</v>
      </c>
    </row>
    <row r="531" spans="1:8">
      <c r="A531" t="s">
        <v>17</v>
      </c>
      <c r="B531" t="s">
        <v>79</v>
      </c>
      <c r="C531">
        <v>861</v>
      </c>
      <c r="D531">
        <v>21481</v>
      </c>
      <c r="E531">
        <v>97.2</v>
      </c>
      <c r="F531">
        <v>16.52</v>
      </c>
      <c r="G531" s="1">
        <v>113.72</v>
      </c>
      <c r="H531" s="154">
        <v>44482</v>
      </c>
    </row>
    <row r="532" spans="1:8">
      <c r="A532" t="s">
        <v>56</v>
      </c>
      <c r="B532" t="s">
        <v>55</v>
      </c>
      <c r="C532">
        <v>862</v>
      </c>
      <c r="D532">
        <v>21482</v>
      </c>
      <c r="E532">
        <v>22.64</v>
      </c>
      <c r="F532">
        <v>3.85</v>
      </c>
      <c r="G532" s="1">
        <v>26.49</v>
      </c>
      <c r="H532" s="154">
        <v>44482</v>
      </c>
    </row>
    <row r="533" spans="1:8">
      <c r="A533" t="s">
        <v>71</v>
      </c>
      <c r="B533" t="s">
        <v>70</v>
      </c>
      <c r="C533">
        <v>863</v>
      </c>
      <c r="D533">
        <v>21483</v>
      </c>
      <c r="E533">
        <v>18</v>
      </c>
      <c r="F533">
        <v>3.06</v>
      </c>
      <c r="G533" s="1">
        <v>21.06</v>
      </c>
      <c r="H533" s="154">
        <v>44482</v>
      </c>
    </row>
    <row r="534" spans="1:8">
      <c r="A534" t="s">
        <v>40</v>
      </c>
      <c r="B534" t="s">
        <v>39</v>
      </c>
      <c r="C534">
        <v>864</v>
      </c>
      <c r="D534">
        <v>21484</v>
      </c>
      <c r="E534">
        <v>21</v>
      </c>
      <c r="F534">
        <v>3.57</v>
      </c>
      <c r="G534" s="1">
        <v>24.57</v>
      </c>
      <c r="H534" s="154">
        <v>44482</v>
      </c>
    </row>
    <row r="535" spans="1:8">
      <c r="A535" t="s">
        <v>85</v>
      </c>
      <c r="B535" t="s">
        <v>84</v>
      </c>
      <c r="C535">
        <v>865</v>
      </c>
      <c r="D535">
        <v>21485</v>
      </c>
      <c r="E535">
        <v>22</v>
      </c>
      <c r="F535">
        <v>3.74</v>
      </c>
      <c r="G535" s="1">
        <v>25.74</v>
      </c>
      <c r="H535" s="154">
        <v>44482</v>
      </c>
    </row>
    <row r="536" spans="1:8">
      <c r="A536" t="s">
        <v>76</v>
      </c>
      <c r="B536" t="s">
        <v>75</v>
      </c>
      <c r="C536">
        <v>866</v>
      </c>
      <c r="D536">
        <v>21486</v>
      </c>
      <c r="E536">
        <v>50.1</v>
      </c>
      <c r="F536">
        <v>8.52</v>
      </c>
      <c r="G536" s="1">
        <v>58.62</v>
      </c>
      <c r="H536" s="154">
        <v>44482</v>
      </c>
    </row>
    <row r="537" spans="1:8">
      <c r="A537" t="s">
        <v>93</v>
      </c>
      <c r="B537" t="s">
        <v>92</v>
      </c>
      <c r="C537">
        <v>867</v>
      </c>
      <c r="D537">
        <v>21487</v>
      </c>
      <c r="E537">
        <v>69.599999999999994</v>
      </c>
      <c r="F537">
        <v>11.83</v>
      </c>
      <c r="G537" s="1">
        <v>81.430000000000007</v>
      </c>
      <c r="H537" s="154">
        <v>44482</v>
      </c>
    </row>
    <row r="538" spans="1:8">
      <c r="A538" t="s">
        <v>97</v>
      </c>
      <c r="B538" t="s">
        <v>96</v>
      </c>
      <c r="C538">
        <v>868</v>
      </c>
      <c r="D538">
        <v>21488</v>
      </c>
      <c r="E538">
        <v>70</v>
      </c>
      <c r="F538">
        <v>11.9</v>
      </c>
      <c r="G538" s="1">
        <v>81.900000000000006</v>
      </c>
      <c r="H538" s="154">
        <v>44482</v>
      </c>
    </row>
    <row r="539" spans="1:8">
      <c r="A539" t="s">
        <v>120</v>
      </c>
      <c r="B539" t="s">
        <v>119</v>
      </c>
      <c r="C539">
        <v>869</v>
      </c>
      <c r="D539">
        <v>21489</v>
      </c>
      <c r="E539">
        <v>39.6</v>
      </c>
      <c r="F539">
        <v>6.73</v>
      </c>
      <c r="G539" s="1">
        <v>46.33</v>
      </c>
      <c r="H539" s="154">
        <v>44482</v>
      </c>
    </row>
    <row r="540" spans="1:8">
      <c r="A540" t="s">
        <v>61</v>
      </c>
      <c r="B540" t="s">
        <v>60</v>
      </c>
      <c r="C540">
        <v>870</v>
      </c>
      <c r="D540">
        <v>21490</v>
      </c>
      <c r="E540">
        <v>14.5</v>
      </c>
      <c r="F540">
        <v>2.4700000000000002</v>
      </c>
      <c r="G540" s="1">
        <v>16.97</v>
      </c>
      <c r="H540" s="154">
        <v>44482</v>
      </c>
    </row>
    <row r="541" spans="1:8">
      <c r="A541" t="s">
        <v>17</v>
      </c>
      <c r="B541" t="s">
        <v>79</v>
      </c>
      <c r="C541">
        <v>871</v>
      </c>
      <c r="D541">
        <v>21491</v>
      </c>
      <c r="E541">
        <v>16.8</v>
      </c>
      <c r="F541">
        <v>2.86</v>
      </c>
      <c r="G541" s="1">
        <v>19.66</v>
      </c>
      <c r="H541" s="185" t="s">
        <v>275</v>
      </c>
    </row>
    <row r="542" spans="1:8">
      <c r="A542" t="s">
        <v>9</v>
      </c>
      <c r="B542" t="s">
        <v>8</v>
      </c>
      <c r="C542">
        <v>872</v>
      </c>
      <c r="D542">
        <v>21492</v>
      </c>
      <c r="E542">
        <v>172.7</v>
      </c>
      <c r="F542">
        <v>29.36</v>
      </c>
      <c r="G542" s="1">
        <v>202.06</v>
      </c>
      <c r="H542" s="154">
        <v>44489</v>
      </c>
    </row>
    <row r="543" spans="1:8">
      <c r="A543" t="s">
        <v>9</v>
      </c>
      <c r="B543" t="s">
        <v>15</v>
      </c>
      <c r="C543">
        <v>873</v>
      </c>
      <c r="D543">
        <v>21493</v>
      </c>
      <c r="E543">
        <v>36.5</v>
      </c>
      <c r="F543">
        <v>6.21</v>
      </c>
      <c r="G543" s="1">
        <v>42.71</v>
      </c>
      <c r="H543" s="154">
        <v>44489</v>
      </c>
    </row>
    <row r="544" spans="1:8">
      <c r="A544" t="s">
        <v>17</v>
      </c>
      <c r="B544" t="s">
        <v>16</v>
      </c>
      <c r="C544">
        <v>874</v>
      </c>
      <c r="D544">
        <v>21494</v>
      </c>
      <c r="E544">
        <v>125.3</v>
      </c>
      <c r="F544">
        <v>21.3</v>
      </c>
      <c r="G544" s="1">
        <v>146.6</v>
      </c>
      <c r="H544" s="154">
        <v>44489</v>
      </c>
    </row>
    <row r="545" spans="1:8">
      <c r="A545" t="s">
        <v>17</v>
      </c>
      <c r="B545" t="s">
        <v>20</v>
      </c>
      <c r="C545">
        <v>875</v>
      </c>
      <c r="D545">
        <v>21495</v>
      </c>
      <c r="E545">
        <v>46.8</v>
      </c>
      <c r="F545">
        <v>7.96</v>
      </c>
      <c r="G545" s="1">
        <v>54.76</v>
      </c>
      <c r="H545" s="154">
        <v>44489</v>
      </c>
    </row>
    <row r="546" spans="1:8">
      <c r="A546" t="s">
        <v>56</v>
      </c>
      <c r="B546" t="s">
        <v>55</v>
      </c>
      <c r="C546">
        <v>876</v>
      </c>
      <c r="D546">
        <v>21496</v>
      </c>
      <c r="E546">
        <v>18.100000000000001</v>
      </c>
      <c r="F546">
        <v>3.08</v>
      </c>
      <c r="G546" s="1">
        <v>21.18</v>
      </c>
      <c r="H546" s="154">
        <v>44489</v>
      </c>
    </row>
    <row r="547" spans="1:8">
      <c r="A547" t="s">
        <v>17</v>
      </c>
      <c r="B547" t="s">
        <v>79</v>
      </c>
      <c r="C547">
        <v>877</v>
      </c>
      <c r="D547">
        <v>21497</v>
      </c>
      <c r="E547">
        <v>97.2</v>
      </c>
      <c r="F547">
        <v>16.52</v>
      </c>
      <c r="G547" s="1">
        <v>113.72</v>
      </c>
      <c r="H547" s="154">
        <v>44489</v>
      </c>
    </row>
    <row r="548" spans="1:8">
      <c r="A548" t="s">
        <v>56</v>
      </c>
      <c r="B548" t="s">
        <v>55</v>
      </c>
      <c r="C548">
        <v>878</v>
      </c>
      <c r="D548">
        <v>21498</v>
      </c>
      <c r="E548">
        <v>11.2</v>
      </c>
      <c r="F548">
        <v>1.9</v>
      </c>
      <c r="G548" s="1">
        <v>13.1</v>
      </c>
      <c r="H548" s="154">
        <v>44489</v>
      </c>
    </row>
    <row r="549" spans="1:8">
      <c r="A549" t="s">
        <v>71</v>
      </c>
      <c r="B549" t="s">
        <v>70</v>
      </c>
      <c r="C549">
        <v>879</v>
      </c>
      <c r="D549">
        <v>21499</v>
      </c>
      <c r="E549">
        <v>18</v>
      </c>
      <c r="F549">
        <v>3.06</v>
      </c>
      <c r="G549" s="1">
        <v>21.06</v>
      </c>
      <c r="H549" s="154">
        <v>44489</v>
      </c>
    </row>
    <row r="550" spans="1:8">
      <c r="A550" t="s">
        <v>40</v>
      </c>
      <c r="B550" t="s">
        <v>39</v>
      </c>
      <c r="C550">
        <v>880</v>
      </c>
      <c r="D550">
        <v>21500</v>
      </c>
      <c r="E550">
        <v>21</v>
      </c>
      <c r="F550">
        <v>3.57</v>
      </c>
      <c r="G550" s="1">
        <v>24.57</v>
      </c>
      <c r="H550" s="154">
        <v>44489</v>
      </c>
    </row>
    <row r="551" spans="1:8">
      <c r="A551" t="s">
        <v>85</v>
      </c>
      <c r="B551" t="s">
        <v>84</v>
      </c>
      <c r="C551">
        <v>881</v>
      </c>
      <c r="D551">
        <v>21501</v>
      </c>
      <c r="E551">
        <v>22</v>
      </c>
      <c r="F551">
        <v>3.74</v>
      </c>
      <c r="G551" s="1">
        <v>25.74</v>
      </c>
      <c r="H551" s="154">
        <v>44489</v>
      </c>
    </row>
    <row r="552" spans="1:8">
      <c r="A552" t="s">
        <v>76</v>
      </c>
      <c r="B552" t="s">
        <v>75</v>
      </c>
      <c r="C552">
        <v>882</v>
      </c>
      <c r="D552">
        <v>21502</v>
      </c>
      <c r="E552">
        <v>50.1</v>
      </c>
      <c r="F552">
        <v>8.52</v>
      </c>
      <c r="G552" s="1">
        <v>58.62</v>
      </c>
      <c r="H552" s="154">
        <v>44489</v>
      </c>
    </row>
    <row r="553" spans="1:8">
      <c r="A553" t="s">
        <v>93</v>
      </c>
      <c r="B553" t="s">
        <v>92</v>
      </c>
      <c r="C553">
        <v>883</v>
      </c>
      <c r="D553">
        <v>21503</v>
      </c>
      <c r="E553">
        <v>69.599999999999994</v>
      </c>
      <c r="F553">
        <v>11.83</v>
      </c>
      <c r="G553" s="1">
        <v>81.430000000000007</v>
      </c>
      <c r="H553" s="154">
        <v>44489</v>
      </c>
    </row>
    <row r="554" spans="1:8">
      <c r="A554" t="s">
        <v>97</v>
      </c>
      <c r="B554" t="s">
        <v>96</v>
      </c>
      <c r="C554">
        <v>884</v>
      </c>
      <c r="D554">
        <v>21504</v>
      </c>
      <c r="E554">
        <v>70</v>
      </c>
      <c r="F554">
        <v>11.9</v>
      </c>
      <c r="G554" s="1">
        <v>81.900000000000006</v>
      </c>
      <c r="H554" s="154">
        <v>44489</v>
      </c>
    </row>
    <row r="555" spans="1:8">
      <c r="A555" t="s">
        <v>120</v>
      </c>
      <c r="B555" t="s">
        <v>119</v>
      </c>
      <c r="C555">
        <v>885</v>
      </c>
      <c r="D555">
        <v>21505</v>
      </c>
      <c r="E555">
        <v>26.4</v>
      </c>
      <c r="F555">
        <v>4.49</v>
      </c>
      <c r="G555" s="1">
        <v>30.89</v>
      </c>
      <c r="H555" s="154">
        <v>44489</v>
      </c>
    </row>
    <row r="556" spans="1:8">
      <c r="A556" t="s">
        <v>61</v>
      </c>
      <c r="B556" t="s">
        <v>60</v>
      </c>
      <c r="C556">
        <v>886</v>
      </c>
      <c r="D556">
        <v>21506</v>
      </c>
      <c r="E556">
        <v>14.5</v>
      </c>
      <c r="F556">
        <v>2.4700000000000002</v>
      </c>
      <c r="G556" s="1">
        <v>16.97</v>
      </c>
      <c r="H556" s="154">
        <v>44489</v>
      </c>
    </row>
    <row r="557" spans="1:8">
      <c r="A557" t="s">
        <v>111</v>
      </c>
      <c r="B557" t="s">
        <v>110</v>
      </c>
      <c r="C557">
        <v>887</v>
      </c>
      <c r="D557">
        <v>21507</v>
      </c>
      <c r="E557">
        <v>2904</v>
      </c>
      <c r="F557">
        <v>493.68</v>
      </c>
      <c r="G557" s="1">
        <v>3397.68</v>
      </c>
      <c r="H557" s="154">
        <v>44494</v>
      </c>
    </row>
    <row r="558" spans="1:8">
      <c r="A558" t="s">
        <v>9</v>
      </c>
      <c r="B558" t="s">
        <v>8</v>
      </c>
      <c r="C558">
        <v>888</v>
      </c>
      <c r="D558">
        <v>21508</v>
      </c>
      <c r="E558">
        <v>172.6</v>
      </c>
      <c r="F558">
        <v>29.34</v>
      </c>
      <c r="G558" s="1">
        <v>201.94</v>
      </c>
      <c r="H558" s="154">
        <v>44496</v>
      </c>
    </row>
    <row r="559" spans="1:8">
      <c r="A559" t="s">
        <v>9</v>
      </c>
      <c r="B559" t="s">
        <v>15</v>
      </c>
      <c r="C559">
        <v>889</v>
      </c>
      <c r="D559">
        <v>21509</v>
      </c>
      <c r="E559">
        <v>39.6</v>
      </c>
      <c r="F559">
        <v>6.73</v>
      </c>
      <c r="G559" s="1">
        <v>46.33</v>
      </c>
      <c r="H559" s="154">
        <v>44496</v>
      </c>
    </row>
    <row r="560" spans="1:8">
      <c r="A560" t="s">
        <v>17</v>
      </c>
      <c r="B560" t="s">
        <v>16</v>
      </c>
      <c r="C560">
        <v>890</v>
      </c>
      <c r="D560">
        <v>21510</v>
      </c>
      <c r="E560">
        <v>128.4</v>
      </c>
      <c r="F560">
        <v>21.83</v>
      </c>
      <c r="G560" s="1">
        <v>150.22999999999999</v>
      </c>
      <c r="H560" s="154">
        <v>44496</v>
      </c>
    </row>
    <row r="561" spans="1:8">
      <c r="A561" t="s">
        <v>56</v>
      </c>
      <c r="B561" t="s">
        <v>55</v>
      </c>
      <c r="C561">
        <v>891</v>
      </c>
      <c r="D561">
        <v>21511</v>
      </c>
      <c r="E561">
        <v>23.4</v>
      </c>
      <c r="F561">
        <v>3.98</v>
      </c>
      <c r="G561" s="1">
        <v>27.38</v>
      </c>
      <c r="H561" s="154">
        <v>44496</v>
      </c>
    </row>
    <row r="562" spans="1:8">
      <c r="A562" t="s">
        <v>17</v>
      </c>
      <c r="B562" t="s">
        <v>79</v>
      </c>
      <c r="C562">
        <v>892</v>
      </c>
      <c r="D562">
        <v>21512</v>
      </c>
      <c r="E562">
        <v>92.3</v>
      </c>
      <c r="F562">
        <v>15.69</v>
      </c>
      <c r="G562" s="1">
        <v>107.99</v>
      </c>
      <c r="H562" s="154">
        <v>44496</v>
      </c>
    </row>
    <row r="563" spans="1:8">
      <c r="A563" t="s">
        <v>56</v>
      </c>
      <c r="B563" t="s">
        <v>55</v>
      </c>
      <c r="C563">
        <v>893</v>
      </c>
      <c r="D563">
        <v>21513</v>
      </c>
      <c r="E563">
        <v>11.2</v>
      </c>
      <c r="F563">
        <v>1.9</v>
      </c>
      <c r="G563" s="1">
        <v>13.1</v>
      </c>
      <c r="H563" s="154">
        <v>44496</v>
      </c>
    </row>
    <row r="564" spans="1:8">
      <c r="A564" t="s">
        <v>71</v>
      </c>
      <c r="B564" t="s">
        <v>70</v>
      </c>
      <c r="C564">
        <v>894</v>
      </c>
      <c r="D564">
        <v>21514</v>
      </c>
      <c r="E564">
        <v>18</v>
      </c>
      <c r="F564">
        <v>3.06</v>
      </c>
      <c r="G564" s="1">
        <v>21.06</v>
      </c>
      <c r="H564" s="154">
        <v>44496</v>
      </c>
    </row>
    <row r="565" spans="1:8">
      <c r="A565" t="s">
        <v>40</v>
      </c>
      <c r="B565" t="s">
        <v>39</v>
      </c>
      <c r="C565">
        <v>895</v>
      </c>
      <c r="D565">
        <v>21515</v>
      </c>
      <c r="E565">
        <v>21</v>
      </c>
      <c r="F565">
        <v>3.57</v>
      </c>
      <c r="G565" s="1">
        <v>24.57</v>
      </c>
      <c r="H565" s="154">
        <v>44496</v>
      </c>
    </row>
    <row r="566" spans="1:8">
      <c r="A566" t="s">
        <v>85</v>
      </c>
      <c r="B566" t="s">
        <v>84</v>
      </c>
      <c r="C566">
        <v>896</v>
      </c>
      <c r="D566">
        <v>21516</v>
      </c>
      <c r="E566">
        <v>22</v>
      </c>
      <c r="F566">
        <v>3.74</v>
      </c>
      <c r="G566" s="1">
        <v>25.74</v>
      </c>
      <c r="H566" s="154">
        <v>44496</v>
      </c>
    </row>
    <row r="567" spans="1:8">
      <c r="A567" t="s">
        <v>76</v>
      </c>
      <c r="B567" t="s">
        <v>75</v>
      </c>
      <c r="C567">
        <v>897</v>
      </c>
      <c r="D567">
        <v>21517</v>
      </c>
      <c r="E567">
        <v>50.1</v>
      </c>
      <c r="F567">
        <v>8.52</v>
      </c>
      <c r="G567" s="1">
        <v>58.62</v>
      </c>
      <c r="H567" s="154">
        <v>44496</v>
      </c>
    </row>
    <row r="568" spans="1:8">
      <c r="A568" t="s">
        <v>93</v>
      </c>
      <c r="B568" t="s">
        <v>92</v>
      </c>
      <c r="C568">
        <v>898</v>
      </c>
      <c r="D568">
        <v>21518</v>
      </c>
      <c r="E568">
        <v>69.599999999999994</v>
      </c>
      <c r="F568">
        <v>11.83</v>
      </c>
      <c r="G568" s="1">
        <v>81.430000000000007</v>
      </c>
      <c r="H568" s="154">
        <v>44496</v>
      </c>
    </row>
    <row r="569" spans="1:8">
      <c r="A569" t="s">
        <v>97</v>
      </c>
      <c r="B569" t="s">
        <v>96</v>
      </c>
      <c r="C569">
        <v>899</v>
      </c>
      <c r="D569">
        <v>21519</v>
      </c>
      <c r="E569">
        <v>70</v>
      </c>
      <c r="F569">
        <v>11.9</v>
      </c>
      <c r="G569" s="1">
        <v>81.900000000000006</v>
      </c>
      <c r="H569" s="154">
        <v>44496</v>
      </c>
    </row>
    <row r="570" spans="1:8">
      <c r="A570" t="s">
        <v>120</v>
      </c>
      <c r="B570" t="s">
        <v>119</v>
      </c>
      <c r="C570">
        <v>900</v>
      </c>
      <c r="D570">
        <v>21520</v>
      </c>
      <c r="E570">
        <v>29.7</v>
      </c>
      <c r="F570">
        <v>5.05</v>
      </c>
      <c r="G570" s="1">
        <v>34.75</v>
      </c>
      <c r="H570" s="154">
        <v>44496</v>
      </c>
    </row>
    <row r="571" spans="1:8">
      <c r="A571" t="s">
        <v>61</v>
      </c>
      <c r="B571" t="s">
        <v>60</v>
      </c>
      <c r="C571">
        <v>901</v>
      </c>
      <c r="D571">
        <v>21521</v>
      </c>
      <c r="E571">
        <v>14.5</v>
      </c>
      <c r="F571">
        <v>2.4700000000000002</v>
      </c>
      <c r="G571" s="1">
        <v>16.97</v>
      </c>
      <c r="H571" s="154">
        <v>44496</v>
      </c>
    </row>
    <row r="572" spans="1:8">
      <c r="E572">
        <f>SUM(E512:E571)</f>
        <v>6074.6799999999994</v>
      </c>
      <c r="F572">
        <f>SUM(F512:F571)</f>
        <v>1032.7300000000002</v>
      </c>
      <c r="G572" s="1">
        <f>SUM(G512:G571)</f>
        <v>7107.4099999999989</v>
      </c>
    </row>
    <row r="576" spans="1:8">
      <c r="A576" t="s">
        <v>9</v>
      </c>
      <c r="B576" t="s">
        <v>8</v>
      </c>
      <c r="C576">
        <v>902</v>
      </c>
      <c r="D576">
        <v>21522</v>
      </c>
      <c r="E576">
        <v>170.7</v>
      </c>
      <c r="F576">
        <v>29.02</v>
      </c>
      <c r="G576" s="1">
        <v>199.72</v>
      </c>
      <c r="H576" s="154">
        <v>44503</v>
      </c>
    </row>
    <row r="577" spans="1:8">
      <c r="A577" t="s">
        <v>9</v>
      </c>
      <c r="B577" t="s">
        <v>15</v>
      </c>
      <c r="C577">
        <v>903</v>
      </c>
      <c r="D577">
        <v>21523</v>
      </c>
      <c r="E577">
        <v>37.4</v>
      </c>
      <c r="F577">
        <v>6.36</v>
      </c>
      <c r="G577" s="1">
        <v>43.76</v>
      </c>
      <c r="H577" s="154">
        <v>44503</v>
      </c>
    </row>
    <row r="578" spans="1:8">
      <c r="A578" t="s">
        <v>17</v>
      </c>
      <c r="B578" t="s">
        <v>16</v>
      </c>
      <c r="C578">
        <v>904</v>
      </c>
      <c r="D578">
        <v>21524</v>
      </c>
      <c r="E578">
        <v>111.9</v>
      </c>
      <c r="F578">
        <v>19.02</v>
      </c>
      <c r="G578" s="1">
        <v>130.91999999999999</v>
      </c>
      <c r="H578" s="154">
        <v>44503</v>
      </c>
    </row>
    <row r="579" spans="1:8">
      <c r="A579" t="s">
        <v>17</v>
      </c>
      <c r="B579" t="s">
        <v>20</v>
      </c>
      <c r="C579">
        <v>905</v>
      </c>
      <c r="D579">
        <v>21525</v>
      </c>
      <c r="E579">
        <v>47.4</v>
      </c>
      <c r="F579">
        <v>8.06</v>
      </c>
      <c r="G579" s="1">
        <v>55.46</v>
      </c>
      <c r="H579" s="154">
        <v>44503</v>
      </c>
    </row>
    <row r="580" spans="1:8">
      <c r="A580" t="s">
        <v>56</v>
      </c>
      <c r="B580" t="s">
        <v>55</v>
      </c>
      <c r="C580">
        <v>906</v>
      </c>
      <c r="D580">
        <v>21526</v>
      </c>
      <c r="E580">
        <v>19.3</v>
      </c>
      <c r="F580">
        <v>3.28</v>
      </c>
      <c r="G580" s="1">
        <v>22.58</v>
      </c>
      <c r="H580" s="154">
        <v>44503</v>
      </c>
    </row>
    <row r="581" spans="1:8">
      <c r="A581" t="s">
        <v>17</v>
      </c>
      <c r="B581" t="s">
        <v>79</v>
      </c>
      <c r="C581">
        <v>907</v>
      </c>
      <c r="D581">
        <v>21527</v>
      </c>
      <c r="E581">
        <v>142.69999999999999</v>
      </c>
      <c r="F581">
        <v>24.26</v>
      </c>
      <c r="G581" s="1">
        <v>166.96</v>
      </c>
      <c r="H581" s="154">
        <v>44503</v>
      </c>
    </row>
    <row r="582" spans="1:8">
      <c r="A582" t="s">
        <v>56</v>
      </c>
      <c r="B582" t="s">
        <v>55</v>
      </c>
      <c r="C582">
        <v>908</v>
      </c>
      <c r="D582">
        <v>21528</v>
      </c>
      <c r="E582">
        <v>11.2</v>
      </c>
      <c r="F582">
        <v>1.9</v>
      </c>
      <c r="G582" s="1">
        <v>13.1</v>
      </c>
      <c r="H582" s="154">
        <v>44503</v>
      </c>
    </row>
    <row r="583" spans="1:8">
      <c r="A583" t="s">
        <v>71</v>
      </c>
      <c r="B583" t="s">
        <v>70</v>
      </c>
      <c r="C583">
        <v>909</v>
      </c>
      <c r="D583">
        <v>21529</v>
      </c>
      <c r="E583">
        <v>18</v>
      </c>
      <c r="F583">
        <v>3.06</v>
      </c>
      <c r="G583" s="1">
        <v>21.06</v>
      </c>
      <c r="H583" s="154">
        <v>44503</v>
      </c>
    </row>
    <row r="584" spans="1:8">
      <c r="A584" t="s">
        <v>40</v>
      </c>
      <c r="B584" t="s">
        <v>39</v>
      </c>
      <c r="C584">
        <v>910</v>
      </c>
      <c r="D584">
        <v>21530</v>
      </c>
      <c r="E584">
        <v>28</v>
      </c>
      <c r="F584">
        <v>4.76</v>
      </c>
      <c r="G584" s="1">
        <v>32.76</v>
      </c>
      <c r="H584" s="154">
        <v>44503</v>
      </c>
    </row>
    <row r="585" spans="1:8">
      <c r="A585" t="s">
        <v>85</v>
      </c>
      <c r="B585" t="s">
        <v>84</v>
      </c>
      <c r="C585">
        <v>911</v>
      </c>
      <c r="D585">
        <v>21531</v>
      </c>
      <c r="E585">
        <v>22</v>
      </c>
      <c r="F585">
        <v>3.74</v>
      </c>
      <c r="G585" s="1">
        <v>25.74</v>
      </c>
      <c r="H585" s="154">
        <v>44503</v>
      </c>
    </row>
    <row r="586" spans="1:8">
      <c r="A586" t="s">
        <v>76</v>
      </c>
      <c r="B586" t="s">
        <v>75</v>
      </c>
      <c r="C586">
        <v>912</v>
      </c>
      <c r="D586">
        <v>21532</v>
      </c>
      <c r="E586">
        <v>50.1</v>
      </c>
      <c r="F586">
        <v>8.52</v>
      </c>
      <c r="G586" s="1">
        <v>58.62</v>
      </c>
      <c r="H586" s="154">
        <v>44503</v>
      </c>
    </row>
    <row r="587" spans="1:8">
      <c r="A587" t="s">
        <v>93</v>
      </c>
      <c r="B587" t="s">
        <v>92</v>
      </c>
      <c r="C587">
        <v>913</v>
      </c>
      <c r="D587">
        <v>21533</v>
      </c>
      <c r="E587">
        <v>69.599999999999994</v>
      </c>
      <c r="F587">
        <v>11.83</v>
      </c>
      <c r="G587" s="1">
        <v>81.430000000000007</v>
      </c>
      <c r="H587" s="154">
        <v>44503</v>
      </c>
    </row>
    <row r="588" spans="1:8">
      <c r="A588" t="s">
        <v>97</v>
      </c>
      <c r="B588" t="s">
        <v>96</v>
      </c>
      <c r="C588">
        <v>914</v>
      </c>
      <c r="D588">
        <v>21534</v>
      </c>
      <c r="E588">
        <v>70</v>
      </c>
      <c r="F588">
        <v>11.9</v>
      </c>
      <c r="G588" s="1">
        <v>81.900000000000006</v>
      </c>
      <c r="H588" s="154">
        <v>44503</v>
      </c>
    </row>
    <row r="589" spans="1:8">
      <c r="A589" t="s">
        <v>120</v>
      </c>
      <c r="B589" t="s">
        <v>119</v>
      </c>
      <c r="C589">
        <v>915</v>
      </c>
      <c r="D589">
        <v>21535</v>
      </c>
      <c r="E589">
        <v>26.4</v>
      </c>
      <c r="F589">
        <v>4.49</v>
      </c>
      <c r="G589" s="1">
        <v>30.89</v>
      </c>
      <c r="H589" s="154">
        <v>44503</v>
      </c>
    </row>
    <row r="590" spans="1:8">
      <c r="A590" t="s">
        <v>61</v>
      </c>
      <c r="B590" t="s">
        <v>60</v>
      </c>
      <c r="C590">
        <v>916</v>
      </c>
      <c r="D590">
        <v>21536</v>
      </c>
      <c r="E590">
        <v>14.5</v>
      </c>
      <c r="F590">
        <v>2.4700000000000002</v>
      </c>
      <c r="G590" s="1">
        <v>16.97</v>
      </c>
      <c r="H590" s="154">
        <v>44503</v>
      </c>
    </row>
    <row r="591" spans="1:8">
      <c r="A591" t="s">
        <v>115</v>
      </c>
      <c r="B591" t="s">
        <v>114</v>
      </c>
      <c r="C591">
        <v>917</v>
      </c>
      <c r="D591">
        <v>21537</v>
      </c>
      <c r="E591">
        <v>21.8</v>
      </c>
      <c r="F591">
        <v>3.71</v>
      </c>
      <c r="G591" s="1">
        <v>25.51</v>
      </c>
      <c r="H591" s="154">
        <v>44503</v>
      </c>
    </row>
    <row r="592" spans="1:8">
      <c r="A592" t="s">
        <v>95</v>
      </c>
      <c r="B592" t="s">
        <v>94</v>
      </c>
      <c r="C592">
        <v>918</v>
      </c>
      <c r="D592">
        <v>21538</v>
      </c>
      <c r="E592">
        <v>425.6</v>
      </c>
      <c r="F592">
        <v>72.34</v>
      </c>
      <c r="G592" s="1">
        <v>497.94</v>
      </c>
      <c r="H592" s="154">
        <v>44507</v>
      </c>
    </row>
    <row r="593" spans="1:8">
      <c r="A593" t="s">
        <v>9</v>
      </c>
      <c r="B593" t="s">
        <v>8</v>
      </c>
      <c r="C593">
        <v>919</v>
      </c>
      <c r="D593">
        <v>21539</v>
      </c>
      <c r="E593">
        <v>117.4</v>
      </c>
      <c r="F593">
        <v>19.96</v>
      </c>
      <c r="G593" s="1">
        <v>137.36000000000001</v>
      </c>
      <c r="H593" s="154">
        <v>44510</v>
      </c>
    </row>
    <row r="594" spans="1:8">
      <c r="A594" t="s">
        <v>9</v>
      </c>
      <c r="B594" t="s">
        <v>15</v>
      </c>
      <c r="C594">
        <v>920</v>
      </c>
      <c r="D594">
        <v>21540</v>
      </c>
      <c r="E594">
        <v>32.4</v>
      </c>
      <c r="F594">
        <v>5.51</v>
      </c>
      <c r="G594" s="1">
        <v>37.909999999999997</v>
      </c>
      <c r="H594" s="154">
        <v>44510</v>
      </c>
    </row>
    <row r="595" spans="1:8">
      <c r="A595" t="s">
        <v>17</v>
      </c>
      <c r="B595" t="s">
        <v>16</v>
      </c>
      <c r="C595">
        <v>921</v>
      </c>
      <c r="D595">
        <v>21541</v>
      </c>
      <c r="E595">
        <v>139.6</v>
      </c>
      <c r="F595">
        <v>23.73</v>
      </c>
      <c r="G595" s="1">
        <v>163.33000000000001</v>
      </c>
      <c r="H595" s="154">
        <v>44510</v>
      </c>
    </row>
    <row r="596" spans="1:8">
      <c r="A596" t="s">
        <v>17</v>
      </c>
      <c r="B596" t="s">
        <v>20</v>
      </c>
      <c r="C596">
        <v>922</v>
      </c>
      <c r="D596">
        <v>21542</v>
      </c>
      <c r="E596">
        <v>13.1</v>
      </c>
      <c r="F596">
        <v>2.23</v>
      </c>
      <c r="G596" s="1">
        <v>15.33</v>
      </c>
      <c r="H596" s="154">
        <v>44510</v>
      </c>
    </row>
    <row r="597" spans="1:8">
      <c r="A597" t="s">
        <v>56</v>
      </c>
      <c r="B597" t="s">
        <v>55</v>
      </c>
      <c r="C597">
        <v>923</v>
      </c>
      <c r="D597">
        <v>21543</v>
      </c>
      <c r="E597">
        <v>103.6</v>
      </c>
      <c r="F597">
        <v>17.61</v>
      </c>
      <c r="G597" s="1">
        <v>121.21</v>
      </c>
      <c r="H597" s="154">
        <v>44510</v>
      </c>
    </row>
    <row r="598" spans="1:8">
      <c r="A598" t="s">
        <v>17</v>
      </c>
      <c r="B598" t="s">
        <v>79</v>
      </c>
      <c r="C598">
        <v>924</v>
      </c>
      <c r="D598">
        <v>21544</v>
      </c>
      <c r="E598">
        <v>166</v>
      </c>
      <c r="F598">
        <v>28.22</v>
      </c>
      <c r="G598" s="1">
        <v>194.22</v>
      </c>
      <c r="H598" s="154">
        <v>44510</v>
      </c>
    </row>
    <row r="599" spans="1:8">
      <c r="A599" t="s">
        <v>56</v>
      </c>
      <c r="B599" t="s">
        <v>55</v>
      </c>
      <c r="C599">
        <v>925</v>
      </c>
      <c r="D599">
        <v>21545</v>
      </c>
      <c r="E599">
        <v>11.2</v>
      </c>
      <c r="F599">
        <v>1.9</v>
      </c>
      <c r="G599" s="1">
        <v>13.1</v>
      </c>
      <c r="H599" s="154">
        <v>44510</v>
      </c>
    </row>
    <row r="600" spans="1:8">
      <c r="A600" t="s">
        <v>71</v>
      </c>
      <c r="B600" t="s">
        <v>70</v>
      </c>
      <c r="C600">
        <v>926</v>
      </c>
      <c r="D600">
        <v>21546</v>
      </c>
      <c r="E600">
        <v>18</v>
      </c>
      <c r="F600">
        <v>3.06</v>
      </c>
      <c r="G600" s="1">
        <v>21.06</v>
      </c>
      <c r="H600" s="154">
        <v>44510</v>
      </c>
    </row>
    <row r="601" spans="1:8">
      <c r="A601" t="s">
        <v>40</v>
      </c>
      <c r="B601" t="s">
        <v>39</v>
      </c>
      <c r="C601">
        <v>927</v>
      </c>
      <c r="D601">
        <v>21547</v>
      </c>
      <c r="E601">
        <v>28</v>
      </c>
      <c r="F601">
        <v>4.76</v>
      </c>
      <c r="G601" s="1">
        <v>32.76</v>
      </c>
      <c r="H601" s="154">
        <v>44510</v>
      </c>
    </row>
    <row r="602" spans="1:8">
      <c r="A602" t="s">
        <v>85</v>
      </c>
      <c r="B602" t="s">
        <v>84</v>
      </c>
      <c r="C602">
        <v>928</v>
      </c>
      <c r="D602">
        <v>21548</v>
      </c>
      <c r="E602">
        <v>22</v>
      </c>
      <c r="F602">
        <v>3.74</v>
      </c>
      <c r="G602" s="1">
        <v>25.74</v>
      </c>
      <c r="H602" s="154">
        <v>44510</v>
      </c>
    </row>
    <row r="603" spans="1:8">
      <c r="A603" t="s">
        <v>76</v>
      </c>
      <c r="B603" t="s">
        <v>75</v>
      </c>
      <c r="C603">
        <v>929</v>
      </c>
      <c r="D603">
        <v>21549</v>
      </c>
      <c r="E603">
        <v>50.1</v>
      </c>
      <c r="F603">
        <v>8.52</v>
      </c>
      <c r="G603" s="1">
        <v>58.62</v>
      </c>
      <c r="H603" s="154">
        <v>44510</v>
      </c>
    </row>
    <row r="604" spans="1:8">
      <c r="A604" t="s">
        <v>93</v>
      </c>
      <c r="B604" t="s">
        <v>92</v>
      </c>
      <c r="C604">
        <v>930</v>
      </c>
      <c r="D604">
        <v>21550</v>
      </c>
      <c r="E604">
        <v>69.599999999999994</v>
      </c>
      <c r="F604">
        <v>11.83</v>
      </c>
      <c r="G604" s="1">
        <v>81.430000000000007</v>
      </c>
      <c r="H604" s="154">
        <v>44510</v>
      </c>
    </row>
    <row r="605" spans="1:8">
      <c r="A605" t="s">
        <v>97</v>
      </c>
      <c r="B605" t="s">
        <v>96</v>
      </c>
      <c r="C605">
        <v>931</v>
      </c>
      <c r="D605">
        <v>21551</v>
      </c>
      <c r="E605">
        <v>70</v>
      </c>
      <c r="F605">
        <v>11.9</v>
      </c>
      <c r="G605" s="1">
        <v>81.900000000000006</v>
      </c>
      <c r="H605" s="154">
        <v>44510</v>
      </c>
    </row>
    <row r="606" spans="1:8">
      <c r="A606" t="s">
        <v>120</v>
      </c>
      <c r="B606" t="s">
        <v>119</v>
      </c>
      <c r="C606">
        <v>932</v>
      </c>
      <c r="D606">
        <v>21552</v>
      </c>
      <c r="E606">
        <v>26.4</v>
      </c>
      <c r="F606">
        <v>4.49</v>
      </c>
      <c r="G606" s="1">
        <v>30.89</v>
      </c>
      <c r="H606" s="154">
        <v>44510</v>
      </c>
    </row>
    <row r="607" spans="1:8">
      <c r="A607" t="s">
        <v>61</v>
      </c>
      <c r="B607" t="s">
        <v>60</v>
      </c>
      <c r="C607">
        <v>933</v>
      </c>
      <c r="D607">
        <v>21553</v>
      </c>
      <c r="E607">
        <v>14.5</v>
      </c>
      <c r="F607">
        <v>2.4700000000000002</v>
      </c>
      <c r="G607" s="1">
        <v>16.97</v>
      </c>
      <c r="H607" s="154">
        <v>44510</v>
      </c>
    </row>
    <row r="608" spans="1:8">
      <c r="A608" t="s">
        <v>115</v>
      </c>
      <c r="B608" t="s">
        <v>114</v>
      </c>
      <c r="C608">
        <v>934</v>
      </c>
      <c r="D608">
        <v>21554</v>
      </c>
      <c r="E608">
        <v>21.8</v>
      </c>
      <c r="F608">
        <v>3.71</v>
      </c>
      <c r="G608" s="1">
        <v>25.51</v>
      </c>
      <c r="H608" s="154">
        <v>44510</v>
      </c>
    </row>
    <row r="609" spans="1:8">
      <c r="A609" t="s">
        <v>111</v>
      </c>
      <c r="B609" t="s">
        <v>110</v>
      </c>
      <c r="C609">
        <v>935</v>
      </c>
      <c r="D609">
        <v>21555</v>
      </c>
      <c r="E609" s="63">
        <v>3041.28</v>
      </c>
      <c r="F609" s="63">
        <v>517.02</v>
      </c>
      <c r="G609" s="63">
        <v>3558.3</v>
      </c>
      <c r="H609" s="154">
        <v>44515</v>
      </c>
    </row>
    <row r="610" spans="1:8">
      <c r="A610" t="s">
        <v>9</v>
      </c>
      <c r="B610" t="s">
        <v>8</v>
      </c>
      <c r="C610">
        <v>936</v>
      </c>
      <c r="D610">
        <v>21556</v>
      </c>
      <c r="E610">
        <v>174.2</v>
      </c>
      <c r="F610">
        <v>29.61</v>
      </c>
      <c r="G610" s="1">
        <v>203.81</v>
      </c>
      <c r="H610" s="154">
        <v>44517</v>
      </c>
    </row>
    <row r="611" spans="1:8">
      <c r="A611" t="s">
        <v>9</v>
      </c>
      <c r="B611" t="s">
        <v>15</v>
      </c>
      <c r="C611">
        <v>937</v>
      </c>
      <c r="D611">
        <v>21557</v>
      </c>
      <c r="E611">
        <v>34.6</v>
      </c>
      <c r="F611">
        <v>5.88</v>
      </c>
      <c r="G611" s="1">
        <v>40.479999999999997</v>
      </c>
      <c r="H611" s="154">
        <v>44517</v>
      </c>
    </row>
    <row r="612" spans="1:8">
      <c r="A612" t="s">
        <v>17</v>
      </c>
      <c r="B612" t="s">
        <v>16</v>
      </c>
      <c r="C612">
        <v>938</v>
      </c>
      <c r="D612">
        <v>21558</v>
      </c>
      <c r="E612">
        <v>85.7</v>
      </c>
      <c r="F612">
        <v>14.57</v>
      </c>
      <c r="G612" s="1">
        <v>100.27</v>
      </c>
      <c r="H612" s="154">
        <v>44517</v>
      </c>
    </row>
    <row r="613" spans="1:8">
      <c r="A613" t="s">
        <v>17</v>
      </c>
      <c r="B613" t="s">
        <v>20</v>
      </c>
      <c r="C613">
        <v>939</v>
      </c>
      <c r="D613">
        <v>21559</v>
      </c>
      <c r="E613">
        <v>44.9</v>
      </c>
      <c r="F613">
        <v>7.63</v>
      </c>
      <c r="G613" s="1">
        <v>52.53</v>
      </c>
      <c r="H613" s="154">
        <v>44517</v>
      </c>
    </row>
    <row r="614" spans="1:8">
      <c r="A614" t="s">
        <v>17</v>
      </c>
      <c r="B614" t="s">
        <v>79</v>
      </c>
      <c r="C614">
        <v>940</v>
      </c>
      <c r="D614">
        <v>21560</v>
      </c>
      <c r="E614">
        <v>119.4</v>
      </c>
      <c r="F614">
        <v>20.3</v>
      </c>
      <c r="G614" s="1">
        <v>139.69999999999999</v>
      </c>
      <c r="H614" s="154">
        <v>44517</v>
      </c>
    </row>
    <row r="615" spans="1:8">
      <c r="A615" t="s">
        <v>56</v>
      </c>
      <c r="B615" t="s">
        <v>55</v>
      </c>
      <c r="C615">
        <v>941</v>
      </c>
      <c r="D615">
        <v>21561</v>
      </c>
      <c r="E615">
        <v>11.2</v>
      </c>
      <c r="F615">
        <v>1.9</v>
      </c>
      <c r="G615" s="1">
        <v>13.1</v>
      </c>
      <c r="H615" s="154">
        <v>44517</v>
      </c>
    </row>
    <row r="616" spans="1:8">
      <c r="A616" t="s">
        <v>71</v>
      </c>
      <c r="B616" t="s">
        <v>70</v>
      </c>
      <c r="C616">
        <v>942</v>
      </c>
      <c r="D616">
        <v>21562</v>
      </c>
      <c r="E616">
        <v>18</v>
      </c>
      <c r="F616">
        <v>3.06</v>
      </c>
      <c r="G616" s="1">
        <v>21.06</v>
      </c>
      <c r="H616" s="154">
        <v>44517</v>
      </c>
    </row>
    <row r="617" spans="1:8">
      <c r="A617" t="s">
        <v>40</v>
      </c>
      <c r="B617" t="s">
        <v>39</v>
      </c>
      <c r="C617">
        <v>943</v>
      </c>
      <c r="D617">
        <v>21563</v>
      </c>
      <c r="E617">
        <v>28</v>
      </c>
      <c r="F617">
        <v>4.76</v>
      </c>
      <c r="G617" s="1">
        <v>32.76</v>
      </c>
      <c r="H617" s="154">
        <v>44517</v>
      </c>
    </row>
    <row r="618" spans="1:8">
      <c r="A618" t="s">
        <v>85</v>
      </c>
      <c r="B618" t="s">
        <v>84</v>
      </c>
      <c r="C618">
        <v>944</v>
      </c>
      <c r="D618">
        <v>21564</v>
      </c>
      <c r="E618">
        <v>22</v>
      </c>
      <c r="F618">
        <v>3.74</v>
      </c>
      <c r="G618" s="1">
        <v>25.74</v>
      </c>
      <c r="H618" s="154">
        <v>44517</v>
      </c>
    </row>
    <row r="619" spans="1:8">
      <c r="A619" t="s">
        <v>76</v>
      </c>
      <c r="B619" t="s">
        <v>75</v>
      </c>
      <c r="C619">
        <v>945</v>
      </c>
      <c r="D619">
        <v>21565</v>
      </c>
      <c r="E619">
        <v>50.1</v>
      </c>
      <c r="F619">
        <v>8.52</v>
      </c>
      <c r="G619" s="1">
        <v>58.62</v>
      </c>
      <c r="H619" s="154">
        <v>44517</v>
      </c>
    </row>
    <row r="620" spans="1:8">
      <c r="A620" t="s">
        <v>93</v>
      </c>
      <c r="B620" t="s">
        <v>92</v>
      </c>
      <c r="C620">
        <v>946</v>
      </c>
      <c r="D620">
        <v>21566</v>
      </c>
      <c r="E620">
        <v>69.599999999999994</v>
      </c>
      <c r="F620">
        <v>11.83</v>
      </c>
      <c r="G620" s="1">
        <v>81.430000000000007</v>
      </c>
      <c r="H620" s="154">
        <v>44517</v>
      </c>
    </row>
    <row r="621" spans="1:8">
      <c r="A621" t="s">
        <v>97</v>
      </c>
      <c r="B621" t="s">
        <v>96</v>
      </c>
      <c r="C621">
        <v>947</v>
      </c>
      <c r="D621">
        <v>21567</v>
      </c>
      <c r="E621">
        <v>70</v>
      </c>
      <c r="F621">
        <v>11.9</v>
      </c>
      <c r="G621" s="1">
        <v>81.900000000000006</v>
      </c>
      <c r="H621" s="154">
        <v>44517</v>
      </c>
    </row>
    <row r="622" spans="1:8">
      <c r="A622" t="s">
        <v>120</v>
      </c>
      <c r="B622" t="s">
        <v>119</v>
      </c>
      <c r="C622">
        <v>948</v>
      </c>
      <c r="D622">
        <v>21568</v>
      </c>
      <c r="E622">
        <v>26.4</v>
      </c>
      <c r="F622">
        <v>4.49</v>
      </c>
      <c r="G622" s="1">
        <v>30.89</v>
      </c>
      <c r="H622" s="154">
        <v>44517</v>
      </c>
    </row>
    <row r="623" spans="1:8">
      <c r="A623" t="s">
        <v>61</v>
      </c>
      <c r="B623" t="s">
        <v>60</v>
      </c>
      <c r="C623">
        <v>949</v>
      </c>
      <c r="D623">
        <v>21569</v>
      </c>
      <c r="E623">
        <v>14.5</v>
      </c>
      <c r="F623">
        <v>2.4700000000000002</v>
      </c>
      <c r="G623" s="1">
        <v>16.97</v>
      </c>
      <c r="H623" s="154">
        <v>44517</v>
      </c>
    </row>
    <row r="624" spans="1:8">
      <c r="A624" t="s">
        <v>115</v>
      </c>
      <c r="B624" t="s">
        <v>114</v>
      </c>
      <c r="C624">
        <v>950</v>
      </c>
      <c r="D624">
        <v>21570</v>
      </c>
      <c r="E624">
        <v>21.8</v>
      </c>
      <c r="F624">
        <v>3.71</v>
      </c>
      <c r="G624" s="1">
        <v>25.51</v>
      </c>
      <c r="H624" s="154">
        <v>44517</v>
      </c>
    </row>
    <row r="625" spans="1:8">
      <c r="A625" t="s">
        <v>9</v>
      </c>
      <c r="B625" t="s">
        <v>8</v>
      </c>
      <c r="C625">
        <v>951</v>
      </c>
      <c r="D625">
        <v>21571</v>
      </c>
      <c r="E625">
        <v>255.4</v>
      </c>
      <c r="F625">
        <v>43.42</v>
      </c>
      <c r="G625" s="1">
        <v>298.82</v>
      </c>
      <c r="H625" s="154">
        <v>44524</v>
      </c>
    </row>
    <row r="626" spans="1:8">
      <c r="A626" t="s">
        <v>9</v>
      </c>
      <c r="B626" t="s">
        <v>15</v>
      </c>
      <c r="C626">
        <v>952</v>
      </c>
      <c r="D626">
        <v>21572</v>
      </c>
      <c r="E626">
        <v>18.399999999999999</v>
      </c>
      <c r="F626">
        <v>3.13</v>
      </c>
      <c r="G626" s="1">
        <v>21.53</v>
      </c>
      <c r="H626" s="154">
        <v>44524</v>
      </c>
    </row>
    <row r="627" spans="1:8">
      <c r="A627" t="s">
        <v>17</v>
      </c>
      <c r="B627" t="s">
        <v>16</v>
      </c>
      <c r="C627">
        <v>953</v>
      </c>
      <c r="D627">
        <v>21573</v>
      </c>
      <c r="E627">
        <v>106.6</v>
      </c>
      <c r="F627">
        <v>18.12</v>
      </c>
      <c r="G627" s="1">
        <v>124.72</v>
      </c>
      <c r="H627" s="154">
        <v>44524</v>
      </c>
    </row>
    <row r="628" spans="1:8">
      <c r="A628" t="s">
        <v>17</v>
      </c>
      <c r="B628" t="s">
        <v>20</v>
      </c>
      <c r="C628">
        <v>954</v>
      </c>
      <c r="D628">
        <v>21574</v>
      </c>
      <c r="E628">
        <v>18.7</v>
      </c>
      <c r="F628">
        <v>3.18</v>
      </c>
      <c r="G628" s="1">
        <v>21.88</v>
      </c>
      <c r="H628" s="154">
        <v>44524</v>
      </c>
    </row>
    <row r="629" spans="1:8">
      <c r="A629" t="s">
        <v>17</v>
      </c>
      <c r="B629" t="s">
        <v>79</v>
      </c>
      <c r="C629">
        <v>955</v>
      </c>
      <c r="D629">
        <v>21575</v>
      </c>
      <c r="E629">
        <v>83.6</v>
      </c>
      <c r="F629">
        <v>14.21</v>
      </c>
      <c r="G629" s="1">
        <v>97.81</v>
      </c>
      <c r="H629" s="154">
        <v>44524</v>
      </c>
    </row>
    <row r="630" spans="1:8">
      <c r="A630" t="s">
        <v>56</v>
      </c>
      <c r="B630" t="s">
        <v>55</v>
      </c>
      <c r="C630">
        <v>956</v>
      </c>
      <c r="D630">
        <v>21576</v>
      </c>
      <c r="E630">
        <v>34.6</v>
      </c>
      <c r="F630">
        <v>5.88</v>
      </c>
      <c r="G630" s="1">
        <v>40.479999999999997</v>
      </c>
      <c r="H630" s="154">
        <v>44524</v>
      </c>
    </row>
    <row r="631" spans="1:8">
      <c r="A631" t="s">
        <v>71</v>
      </c>
      <c r="B631" t="s">
        <v>70</v>
      </c>
      <c r="C631">
        <v>957</v>
      </c>
      <c r="D631">
        <v>21577</v>
      </c>
      <c r="E631">
        <v>18</v>
      </c>
      <c r="F631">
        <v>3.06</v>
      </c>
      <c r="G631" s="1">
        <v>21.06</v>
      </c>
      <c r="H631" s="154">
        <v>44524</v>
      </c>
    </row>
    <row r="632" spans="1:8">
      <c r="A632" t="s">
        <v>40</v>
      </c>
      <c r="B632" t="s">
        <v>39</v>
      </c>
      <c r="C632">
        <v>958</v>
      </c>
      <c r="D632">
        <v>21578</v>
      </c>
      <c r="E632">
        <v>21</v>
      </c>
      <c r="F632">
        <v>3.57</v>
      </c>
      <c r="G632" s="1">
        <v>24.57</v>
      </c>
      <c r="H632" s="154">
        <v>44524</v>
      </c>
    </row>
    <row r="633" spans="1:8">
      <c r="A633" t="s">
        <v>76</v>
      </c>
      <c r="B633" t="s">
        <v>75</v>
      </c>
      <c r="C633">
        <v>959</v>
      </c>
      <c r="D633">
        <v>21579</v>
      </c>
      <c r="E633">
        <v>50.1</v>
      </c>
      <c r="F633">
        <v>8.52</v>
      </c>
      <c r="G633" s="1">
        <v>58.62</v>
      </c>
      <c r="H633" s="154">
        <v>44524</v>
      </c>
    </row>
    <row r="634" spans="1:8">
      <c r="A634" t="s">
        <v>93</v>
      </c>
      <c r="B634" t="s">
        <v>92</v>
      </c>
      <c r="C634">
        <v>960</v>
      </c>
      <c r="D634">
        <v>21580</v>
      </c>
      <c r="E634">
        <v>34.700000000000003</v>
      </c>
      <c r="F634">
        <v>5.9</v>
      </c>
      <c r="G634" s="1">
        <v>40.6</v>
      </c>
      <c r="H634" s="154">
        <v>44524</v>
      </c>
    </row>
    <row r="635" spans="1:8">
      <c r="A635" t="s">
        <v>97</v>
      </c>
      <c r="B635" t="s">
        <v>96</v>
      </c>
      <c r="C635">
        <v>961</v>
      </c>
      <c r="D635">
        <v>21581</v>
      </c>
      <c r="E635">
        <v>70</v>
      </c>
      <c r="F635">
        <v>11.9</v>
      </c>
      <c r="G635" s="1">
        <v>81.900000000000006</v>
      </c>
      <c r="H635" s="154">
        <v>44524</v>
      </c>
    </row>
    <row r="636" spans="1:8">
      <c r="A636" t="s">
        <v>120</v>
      </c>
      <c r="B636" t="s">
        <v>119</v>
      </c>
      <c r="C636">
        <v>962</v>
      </c>
      <c r="D636">
        <v>21582</v>
      </c>
      <c r="E636">
        <v>26.4</v>
      </c>
      <c r="F636">
        <v>4.49</v>
      </c>
      <c r="G636" s="1">
        <v>30.89</v>
      </c>
      <c r="H636" s="154">
        <v>44524</v>
      </c>
    </row>
    <row r="637" spans="1:8">
      <c r="A637" t="s">
        <v>61</v>
      </c>
      <c r="B637" t="s">
        <v>60</v>
      </c>
      <c r="C637">
        <v>963</v>
      </c>
      <c r="D637">
        <v>21583</v>
      </c>
      <c r="E637">
        <v>14.5</v>
      </c>
      <c r="F637">
        <v>2.4700000000000002</v>
      </c>
      <c r="G637" s="1">
        <v>16.97</v>
      </c>
      <c r="H637" s="154">
        <v>44524</v>
      </c>
    </row>
    <row r="638" spans="1:8">
      <c r="A638" t="s">
        <v>115</v>
      </c>
      <c r="B638" t="s">
        <v>114</v>
      </c>
      <c r="C638">
        <v>964</v>
      </c>
      <c r="D638">
        <v>21584</v>
      </c>
      <c r="E638">
        <v>21.8</v>
      </c>
      <c r="F638">
        <v>3.71</v>
      </c>
      <c r="G638" s="1">
        <v>25.51</v>
      </c>
      <c r="H638" s="154">
        <v>44524</v>
      </c>
    </row>
    <row r="639" spans="1:8">
      <c r="A639" t="s">
        <v>107</v>
      </c>
      <c r="B639" t="s">
        <v>106</v>
      </c>
      <c r="C639">
        <v>965</v>
      </c>
      <c r="D639">
        <v>21585</v>
      </c>
      <c r="E639">
        <v>18640.439999999999</v>
      </c>
      <c r="F639">
        <v>3168.87</v>
      </c>
      <c r="G639" s="1">
        <v>21809.31</v>
      </c>
      <c r="H639" s="154">
        <v>44529</v>
      </c>
    </row>
    <row r="640" spans="1:8">
      <c r="E640">
        <f>SUM(E576:E639)</f>
        <v>25436.219999999998</v>
      </c>
      <c r="F640">
        <f>SUM(F576:F639)</f>
        <v>4324.18</v>
      </c>
      <c r="G640" s="1">
        <f>SUM(G576:G639)</f>
        <v>29760.400000000001</v>
      </c>
    </row>
    <row r="646" spans="1:8">
      <c r="A646" t="s">
        <v>9</v>
      </c>
      <c r="B646" t="s">
        <v>8</v>
      </c>
      <c r="C646">
        <v>966</v>
      </c>
      <c r="D646">
        <v>21586</v>
      </c>
      <c r="E646">
        <v>282.5</v>
      </c>
      <c r="F646">
        <v>48.03</v>
      </c>
      <c r="G646" s="1">
        <v>330.53</v>
      </c>
      <c r="H646" s="154">
        <v>44531</v>
      </c>
    </row>
    <row r="647" spans="1:8">
      <c r="A647" t="s">
        <v>9</v>
      </c>
      <c r="B647" t="s">
        <v>15</v>
      </c>
      <c r="C647">
        <v>967</v>
      </c>
      <c r="D647">
        <v>21587</v>
      </c>
      <c r="E647">
        <v>35.799999999999997</v>
      </c>
      <c r="F647">
        <v>6.09</v>
      </c>
      <c r="G647" s="1">
        <v>41.89</v>
      </c>
      <c r="H647" s="154">
        <v>44531</v>
      </c>
    </row>
    <row r="648" spans="1:8">
      <c r="A648" t="s">
        <v>17</v>
      </c>
      <c r="B648" t="s">
        <v>16</v>
      </c>
      <c r="C648">
        <v>968</v>
      </c>
      <c r="D648">
        <v>21588</v>
      </c>
      <c r="E648">
        <v>94.1</v>
      </c>
      <c r="F648">
        <v>16</v>
      </c>
      <c r="G648" s="1">
        <v>110.1</v>
      </c>
      <c r="H648" s="154">
        <v>44531</v>
      </c>
    </row>
    <row r="649" spans="1:8">
      <c r="A649" t="s">
        <v>17</v>
      </c>
      <c r="B649" t="s">
        <v>20</v>
      </c>
      <c r="C649">
        <v>969</v>
      </c>
      <c r="D649">
        <v>21589</v>
      </c>
      <c r="E649">
        <v>27.4</v>
      </c>
      <c r="F649">
        <v>4.66</v>
      </c>
      <c r="G649" s="1">
        <v>32.06</v>
      </c>
      <c r="H649" s="154">
        <v>44531</v>
      </c>
    </row>
    <row r="650" spans="1:8">
      <c r="A650" t="s">
        <v>56</v>
      </c>
      <c r="B650" t="s">
        <v>55</v>
      </c>
      <c r="C650">
        <v>970</v>
      </c>
      <c r="D650">
        <v>21590</v>
      </c>
      <c r="E650">
        <v>5.6</v>
      </c>
      <c r="F650">
        <v>0.95</v>
      </c>
      <c r="G650" s="1">
        <v>6.55</v>
      </c>
      <c r="H650" s="154">
        <v>44531</v>
      </c>
    </row>
    <row r="651" spans="1:8">
      <c r="A651" t="s">
        <v>17</v>
      </c>
      <c r="B651" t="s">
        <v>79</v>
      </c>
      <c r="C651">
        <v>971</v>
      </c>
      <c r="D651">
        <v>21591</v>
      </c>
      <c r="E651">
        <v>190.7</v>
      </c>
      <c r="F651">
        <v>32.42</v>
      </c>
      <c r="G651" s="1">
        <v>223.12</v>
      </c>
      <c r="H651" s="154">
        <v>44531</v>
      </c>
    </row>
    <row r="652" spans="1:8">
      <c r="A652" t="s">
        <v>56</v>
      </c>
      <c r="B652" t="s">
        <v>55</v>
      </c>
      <c r="C652">
        <v>972</v>
      </c>
      <c r="D652">
        <v>21592</v>
      </c>
      <c r="E652">
        <v>28.6</v>
      </c>
      <c r="F652">
        <v>4.8600000000000003</v>
      </c>
      <c r="G652" s="1">
        <v>33.46</v>
      </c>
      <c r="H652" s="154">
        <v>44531</v>
      </c>
    </row>
    <row r="653" spans="1:8">
      <c r="A653" t="s">
        <v>71</v>
      </c>
      <c r="B653" t="s">
        <v>70</v>
      </c>
      <c r="C653">
        <v>973</v>
      </c>
      <c r="D653">
        <v>21593</v>
      </c>
      <c r="E653">
        <v>18</v>
      </c>
      <c r="F653">
        <v>3.06</v>
      </c>
      <c r="G653" s="1">
        <v>21.06</v>
      </c>
      <c r="H653" s="154">
        <v>44531</v>
      </c>
    </row>
    <row r="654" spans="1:8">
      <c r="A654" t="s">
        <v>40</v>
      </c>
      <c r="B654" t="s">
        <v>39</v>
      </c>
      <c r="C654">
        <v>974</v>
      </c>
      <c r="D654">
        <v>21594</v>
      </c>
      <c r="E654">
        <v>28</v>
      </c>
      <c r="F654">
        <v>4.76</v>
      </c>
      <c r="G654" s="1">
        <v>32.76</v>
      </c>
      <c r="H654" s="154">
        <v>44531</v>
      </c>
    </row>
    <row r="655" spans="1:8">
      <c r="A655" t="s">
        <v>76</v>
      </c>
      <c r="B655" t="s">
        <v>75</v>
      </c>
      <c r="C655">
        <v>975</v>
      </c>
      <c r="D655">
        <v>21595</v>
      </c>
      <c r="E655">
        <v>50.1</v>
      </c>
      <c r="F655">
        <v>8.52</v>
      </c>
      <c r="G655" s="1">
        <v>58.62</v>
      </c>
      <c r="H655" s="154">
        <v>44531</v>
      </c>
    </row>
    <row r="656" spans="1:8">
      <c r="A656" t="s">
        <v>93</v>
      </c>
      <c r="B656" t="s">
        <v>92</v>
      </c>
      <c r="C656">
        <v>976</v>
      </c>
      <c r="D656">
        <v>21596</v>
      </c>
      <c r="E656">
        <v>34.700000000000003</v>
      </c>
      <c r="F656">
        <v>5.9</v>
      </c>
      <c r="G656" s="1">
        <v>40.6</v>
      </c>
      <c r="H656" s="154">
        <v>44531</v>
      </c>
    </row>
    <row r="657" spans="1:8">
      <c r="A657" t="s">
        <v>97</v>
      </c>
      <c r="B657" t="s">
        <v>96</v>
      </c>
      <c r="C657">
        <v>977</v>
      </c>
      <c r="D657">
        <v>21597</v>
      </c>
      <c r="E657">
        <v>70</v>
      </c>
      <c r="F657">
        <v>11.9</v>
      </c>
      <c r="G657" s="1">
        <v>81.900000000000006</v>
      </c>
      <c r="H657" s="154">
        <v>44531</v>
      </c>
    </row>
    <row r="658" spans="1:8">
      <c r="A658" t="s">
        <v>120</v>
      </c>
      <c r="B658" t="s">
        <v>119</v>
      </c>
      <c r="C658">
        <v>978</v>
      </c>
      <c r="D658">
        <v>21598</v>
      </c>
      <c r="E658">
        <v>23.1</v>
      </c>
      <c r="F658">
        <v>3.93</v>
      </c>
      <c r="G658" s="1">
        <v>27.03</v>
      </c>
      <c r="H658" s="154">
        <v>44531</v>
      </c>
    </row>
    <row r="659" spans="1:8">
      <c r="A659" t="s">
        <v>61</v>
      </c>
      <c r="B659" t="s">
        <v>60</v>
      </c>
      <c r="C659">
        <v>979</v>
      </c>
      <c r="D659">
        <v>21599</v>
      </c>
      <c r="E659">
        <v>14.5</v>
      </c>
      <c r="F659">
        <v>2.4700000000000002</v>
      </c>
      <c r="G659" s="1">
        <v>16.97</v>
      </c>
      <c r="H659" s="154">
        <v>44531</v>
      </c>
    </row>
    <row r="660" spans="1:8">
      <c r="A660" t="s">
        <v>115</v>
      </c>
      <c r="B660" t="s">
        <v>114</v>
      </c>
      <c r="C660">
        <v>980</v>
      </c>
      <c r="D660">
        <v>21600</v>
      </c>
      <c r="E660">
        <v>21.8</v>
      </c>
      <c r="F660">
        <v>3.71</v>
      </c>
      <c r="G660" s="1">
        <v>25.51</v>
      </c>
      <c r="H660" s="154">
        <v>44531</v>
      </c>
    </row>
    <row r="661" spans="1:8">
      <c r="A661" t="s">
        <v>107</v>
      </c>
      <c r="B661" t="s">
        <v>106</v>
      </c>
      <c r="C661">
        <v>981</v>
      </c>
      <c r="D661">
        <v>21602</v>
      </c>
      <c r="E661">
        <v>3406.2</v>
      </c>
      <c r="F661">
        <v>579.04999999999995</v>
      </c>
      <c r="G661" s="1">
        <v>3985.25</v>
      </c>
      <c r="H661" s="154">
        <v>44536</v>
      </c>
    </row>
    <row r="662" spans="1:8">
      <c r="A662" t="s">
        <v>9</v>
      </c>
      <c r="B662" t="s">
        <v>8</v>
      </c>
      <c r="C662">
        <v>982</v>
      </c>
      <c r="D662">
        <v>21603</v>
      </c>
      <c r="E662">
        <v>292.2</v>
      </c>
      <c r="F662">
        <v>49.67</v>
      </c>
      <c r="G662" s="1">
        <v>341.87</v>
      </c>
      <c r="H662" s="154">
        <v>44538</v>
      </c>
    </row>
    <row r="663" spans="1:8">
      <c r="A663" t="s">
        <v>9</v>
      </c>
      <c r="B663" t="s">
        <v>15</v>
      </c>
      <c r="C663">
        <v>983</v>
      </c>
      <c r="D663">
        <v>21604</v>
      </c>
      <c r="E663">
        <v>34.9</v>
      </c>
      <c r="F663">
        <v>5.93</v>
      </c>
      <c r="G663" s="1">
        <v>40.83</v>
      </c>
      <c r="H663" s="154">
        <v>44538</v>
      </c>
    </row>
    <row r="664" spans="1:8">
      <c r="A664" t="s">
        <v>17</v>
      </c>
      <c r="B664" t="s">
        <v>16</v>
      </c>
      <c r="C664">
        <v>984</v>
      </c>
      <c r="D664">
        <v>21605</v>
      </c>
      <c r="E664">
        <v>83.2</v>
      </c>
      <c r="F664">
        <v>14.14</v>
      </c>
      <c r="G664" s="1">
        <v>97.34</v>
      </c>
      <c r="H664" s="154">
        <v>44538</v>
      </c>
    </row>
    <row r="665" spans="1:8">
      <c r="A665" t="s">
        <v>17</v>
      </c>
      <c r="B665" t="s">
        <v>20</v>
      </c>
      <c r="C665">
        <v>985</v>
      </c>
      <c r="D665">
        <v>21606</v>
      </c>
      <c r="E665">
        <v>31.8</v>
      </c>
      <c r="F665">
        <v>5.41</v>
      </c>
      <c r="G665" s="1">
        <v>37.21</v>
      </c>
      <c r="H665" s="154">
        <v>44538</v>
      </c>
    </row>
    <row r="666" spans="1:8">
      <c r="A666" t="s">
        <v>56</v>
      </c>
      <c r="B666" t="s">
        <v>55</v>
      </c>
      <c r="C666">
        <v>986</v>
      </c>
      <c r="D666">
        <v>21607</v>
      </c>
      <c r="E666">
        <v>49.6</v>
      </c>
      <c r="F666">
        <v>8.43</v>
      </c>
      <c r="G666" s="1">
        <v>58.03</v>
      </c>
      <c r="H666" s="154">
        <v>44538</v>
      </c>
    </row>
    <row r="667" spans="1:8">
      <c r="A667" t="s">
        <v>17</v>
      </c>
      <c r="B667" t="s">
        <v>79</v>
      </c>
      <c r="C667">
        <v>987</v>
      </c>
      <c r="D667">
        <v>21608</v>
      </c>
      <c r="E667">
        <v>99.4</v>
      </c>
      <c r="F667">
        <v>16.899999999999999</v>
      </c>
      <c r="G667" s="1">
        <v>116.3</v>
      </c>
      <c r="H667" s="154">
        <v>44538</v>
      </c>
    </row>
    <row r="668" spans="1:8">
      <c r="A668" t="s">
        <v>56</v>
      </c>
      <c r="B668" t="s">
        <v>55</v>
      </c>
      <c r="C668">
        <v>988</v>
      </c>
      <c r="D668">
        <v>21609</v>
      </c>
      <c r="E668">
        <v>38.479999999999997</v>
      </c>
      <c r="F668">
        <v>6.54</v>
      </c>
      <c r="G668" s="1">
        <v>45.02</v>
      </c>
      <c r="H668" s="154">
        <v>44538</v>
      </c>
    </row>
    <row r="669" spans="1:8">
      <c r="A669" t="s">
        <v>71</v>
      </c>
      <c r="B669" t="s">
        <v>70</v>
      </c>
      <c r="C669">
        <v>989</v>
      </c>
      <c r="D669">
        <v>21610</v>
      </c>
      <c r="E669">
        <v>18</v>
      </c>
      <c r="F669">
        <v>3.06</v>
      </c>
      <c r="G669" s="1">
        <v>21.06</v>
      </c>
      <c r="H669" s="154">
        <v>44538</v>
      </c>
    </row>
    <row r="670" spans="1:8">
      <c r="A670" t="s">
        <v>40</v>
      </c>
      <c r="B670" t="s">
        <v>39</v>
      </c>
      <c r="C670">
        <v>990</v>
      </c>
      <c r="D670">
        <v>21611</v>
      </c>
      <c r="E670">
        <v>14</v>
      </c>
      <c r="F670">
        <v>2.38</v>
      </c>
      <c r="G670" s="1">
        <v>16.38</v>
      </c>
      <c r="H670" s="154">
        <v>44538</v>
      </c>
    </row>
    <row r="671" spans="1:8">
      <c r="A671" t="s">
        <v>76</v>
      </c>
      <c r="B671" t="s">
        <v>75</v>
      </c>
      <c r="C671">
        <v>991</v>
      </c>
      <c r="D671">
        <v>21612</v>
      </c>
      <c r="E671">
        <v>50.1</v>
      </c>
      <c r="F671">
        <v>8.52</v>
      </c>
      <c r="G671" s="1">
        <v>58.62</v>
      </c>
      <c r="H671" s="154">
        <v>44538</v>
      </c>
    </row>
    <row r="672" spans="1:8">
      <c r="A672" t="s">
        <v>93</v>
      </c>
      <c r="B672" t="s">
        <v>92</v>
      </c>
      <c r="C672">
        <v>992</v>
      </c>
      <c r="D672">
        <v>21613</v>
      </c>
      <c r="E672">
        <v>34.700000000000003</v>
      </c>
      <c r="F672">
        <v>5.9</v>
      </c>
      <c r="G672" s="1">
        <v>40.6</v>
      </c>
      <c r="H672" s="154">
        <v>44538</v>
      </c>
    </row>
    <row r="673" spans="1:8">
      <c r="A673" t="s">
        <v>97</v>
      </c>
      <c r="B673" t="s">
        <v>96</v>
      </c>
      <c r="C673">
        <v>993</v>
      </c>
      <c r="D673">
        <v>21614</v>
      </c>
      <c r="E673">
        <v>70</v>
      </c>
      <c r="F673">
        <v>11.9</v>
      </c>
      <c r="G673" s="1">
        <v>81.900000000000006</v>
      </c>
      <c r="H673" s="154">
        <v>44538</v>
      </c>
    </row>
    <row r="674" spans="1:8">
      <c r="A674" t="s">
        <v>120</v>
      </c>
      <c r="B674" t="s">
        <v>119</v>
      </c>
      <c r="C674">
        <v>994</v>
      </c>
      <c r="D674">
        <v>21615</v>
      </c>
      <c r="E674">
        <v>23.1</v>
      </c>
      <c r="F674">
        <v>3.93</v>
      </c>
      <c r="G674" s="1">
        <v>27.03</v>
      </c>
      <c r="H674" s="154">
        <v>44538</v>
      </c>
    </row>
    <row r="675" spans="1:8">
      <c r="A675" t="s">
        <v>61</v>
      </c>
      <c r="B675" t="s">
        <v>60</v>
      </c>
      <c r="C675">
        <v>995</v>
      </c>
      <c r="D675">
        <v>21616</v>
      </c>
      <c r="E675">
        <v>14.5</v>
      </c>
      <c r="F675">
        <v>2.4700000000000002</v>
      </c>
      <c r="G675" s="1">
        <v>16.97</v>
      </c>
      <c r="H675" s="154">
        <v>44538</v>
      </c>
    </row>
    <row r="676" spans="1:8">
      <c r="A676" t="s">
        <v>115</v>
      </c>
      <c r="B676" t="s">
        <v>114</v>
      </c>
      <c r="C676">
        <v>996</v>
      </c>
      <c r="D676">
        <v>21617</v>
      </c>
      <c r="E676">
        <v>21.8</v>
      </c>
      <c r="F676">
        <v>3.71</v>
      </c>
      <c r="G676" s="1">
        <v>25.51</v>
      </c>
      <c r="H676" s="154">
        <v>44538</v>
      </c>
    </row>
    <row r="677" spans="1:8">
      <c r="A677" t="s">
        <v>9</v>
      </c>
      <c r="B677" t="s">
        <v>8</v>
      </c>
      <c r="C677">
        <v>997</v>
      </c>
      <c r="D677">
        <v>21618</v>
      </c>
      <c r="E677">
        <v>225.5</v>
      </c>
      <c r="F677">
        <v>38.340000000000003</v>
      </c>
      <c r="G677" s="1">
        <v>263.83999999999997</v>
      </c>
      <c r="H677" s="154">
        <v>44545</v>
      </c>
    </row>
    <row r="678" spans="1:8">
      <c r="A678" t="s">
        <v>9</v>
      </c>
      <c r="B678" t="s">
        <v>15</v>
      </c>
      <c r="C678">
        <v>998</v>
      </c>
      <c r="D678">
        <v>21619</v>
      </c>
      <c r="E678">
        <v>37.4</v>
      </c>
      <c r="F678">
        <v>6.36</v>
      </c>
      <c r="G678" s="1">
        <v>43.76</v>
      </c>
      <c r="H678" s="154">
        <v>44545</v>
      </c>
    </row>
    <row r="679" spans="1:8">
      <c r="A679" t="s">
        <v>17</v>
      </c>
      <c r="B679" t="s">
        <v>16</v>
      </c>
      <c r="C679">
        <v>999</v>
      </c>
      <c r="D679">
        <v>21620</v>
      </c>
      <c r="E679">
        <v>138.4</v>
      </c>
      <c r="F679">
        <v>23.53</v>
      </c>
      <c r="G679" s="1">
        <v>161.93</v>
      </c>
      <c r="H679" s="154">
        <v>44545</v>
      </c>
    </row>
    <row r="680" spans="1:8">
      <c r="A680" t="s">
        <v>17</v>
      </c>
      <c r="B680" t="s">
        <v>20</v>
      </c>
      <c r="C680">
        <v>1000</v>
      </c>
      <c r="D680">
        <v>21621</v>
      </c>
      <c r="E680">
        <v>21.2</v>
      </c>
      <c r="F680">
        <v>3.6</v>
      </c>
      <c r="G680" s="1">
        <v>24.8</v>
      </c>
      <c r="H680" s="154">
        <v>44545</v>
      </c>
    </row>
    <row r="681" spans="1:8">
      <c r="A681" t="s">
        <v>56</v>
      </c>
      <c r="B681" t="s">
        <v>55</v>
      </c>
      <c r="C681">
        <v>1001</v>
      </c>
      <c r="D681">
        <v>21622</v>
      </c>
      <c r="E681">
        <v>32.1</v>
      </c>
      <c r="F681">
        <v>5.46</v>
      </c>
      <c r="G681" s="1">
        <v>37.56</v>
      </c>
      <c r="H681" s="154">
        <v>44545</v>
      </c>
    </row>
    <row r="682" spans="1:8">
      <c r="A682" t="s">
        <v>17</v>
      </c>
      <c r="B682" t="s">
        <v>79</v>
      </c>
      <c r="C682">
        <v>1002</v>
      </c>
      <c r="D682">
        <v>21623</v>
      </c>
      <c r="E682">
        <v>147.4</v>
      </c>
      <c r="F682">
        <v>25.06</v>
      </c>
      <c r="G682" s="1">
        <v>172.46</v>
      </c>
      <c r="H682" s="154">
        <v>44545</v>
      </c>
    </row>
    <row r="683" spans="1:8">
      <c r="A683" t="s">
        <v>56</v>
      </c>
      <c r="B683" t="s">
        <v>55</v>
      </c>
      <c r="C683">
        <v>1003</v>
      </c>
      <c r="D683">
        <v>21624</v>
      </c>
      <c r="E683">
        <v>60.48</v>
      </c>
      <c r="F683">
        <v>10.28</v>
      </c>
      <c r="G683" s="1">
        <v>70.760000000000005</v>
      </c>
      <c r="H683" s="154">
        <v>44545</v>
      </c>
    </row>
    <row r="684" spans="1:8">
      <c r="A684" t="s">
        <v>71</v>
      </c>
      <c r="B684" t="s">
        <v>70</v>
      </c>
      <c r="C684">
        <v>1004</v>
      </c>
      <c r="D684">
        <v>21625</v>
      </c>
      <c r="E684">
        <v>18</v>
      </c>
      <c r="F684">
        <v>3.06</v>
      </c>
      <c r="G684" s="1">
        <v>21.06</v>
      </c>
      <c r="H684" s="154">
        <v>44545</v>
      </c>
    </row>
    <row r="685" spans="1:8">
      <c r="A685" t="s">
        <v>40</v>
      </c>
      <c r="B685" t="s">
        <v>39</v>
      </c>
      <c r="C685">
        <v>1005</v>
      </c>
      <c r="D685">
        <v>21626</v>
      </c>
      <c r="E685">
        <v>14</v>
      </c>
      <c r="F685">
        <v>2.38</v>
      </c>
      <c r="G685" s="1">
        <v>16.38</v>
      </c>
      <c r="H685" s="154">
        <v>44545</v>
      </c>
    </row>
    <row r="686" spans="1:8">
      <c r="A686" t="s">
        <v>76</v>
      </c>
      <c r="B686" t="s">
        <v>75</v>
      </c>
      <c r="C686">
        <v>1006</v>
      </c>
      <c r="D686">
        <v>21627</v>
      </c>
      <c r="E686">
        <v>43.1</v>
      </c>
      <c r="F686">
        <v>7.33</v>
      </c>
      <c r="G686" s="1">
        <v>50.43</v>
      </c>
      <c r="H686" s="154">
        <v>44545</v>
      </c>
    </row>
    <row r="687" spans="1:8">
      <c r="A687" t="s">
        <v>93</v>
      </c>
      <c r="B687" t="s">
        <v>92</v>
      </c>
      <c r="C687">
        <v>1007</v>
      </c>
      <c r="D687">
        <v>21628</v>
      </c>
      <c r="E687">
        <v>34.700000000000003</v>
      </c>
      <c r="F687">
        <v>5.9</v>
      </c>
      <c r="G687" s="1">
        <v>40.6</v>
      </c>
      <c r="H687" s="154">
        <v>44545</v>
      </c>
    </row>
    <row r="688" spans="1:8">
      <c r="A688" t="s">
        <v>97</v>
      </c>
      <c r="B688" t="s">
        <v>96</v>
      </c>
      <c r="C688">
        <v>1008</v>
      </c>
      <c r="D688">
        <v>21629</v>
      </c>
      <c r="E688">
        <v>70</v>
      </c>
      <c r="F688">
        <v>11.9</v>
      </c>
      <c r="G688" s="1">
        <v>81.900000000000006</v>
      </c>
      <c r="H688" s="154">
        <v>44545</v>
      </c>
    </row>
    <row r="689" spans="1:8">
      <c r="A689" t="s">
        <v>120</v>
      </c>
      <c r="B689" t="s">
        <v>119</v>
      </c>
      <c r="C689">
        <v>1009</v>
      </c>
      <c r="D689">
        <v>21630</v>
      </c>
      <c r="E689">
        <v>23.1</v>
      </c>
      <c r="F689">
        <v>3.93</v>
      </c>
      <c r="G689" s="1">
        <v>27.03</v>
      </c>
      <c r="H689" s="154">
        <v>44545</v>
      </c>
    </row>
    <row r="690" spans="1:8">
      <c r="A690" t="s">
        <v>61</v>
      </c>
      <c r="B690" t="s">
        <v>60</v>
      </c>
      <c r="C690">
        <v>1010</v>
      </c>
      <c r="D690">
        <v>21631</v>
      </c>
      <c r="E690">
        <v>14.5</v>
      </c>
      <c r="F690">
        <v>2.4700000000000002</v>
      </c>
      <c r="G690" s="1">
        <v>16.97</v>
      </c>
      <c r="H690" s="154">
        <v>44545</v>
      </c>
    </row>
    <row r="691" spans="1:8">
      <c r="A691" t="s">
        <v>115</v>
      </c>
      <c r="B691" t="s">
        <v>114</v>
      </c>
      <c r="C691">
        <v>1011</v>
      </c>
      <c r="D691">
        <v>21632</v>
      </c>
      <c r="E691">
        <v>21.8</v>
      </c>
      <c r="F691">
        <v>3.71</v>
      </c>
      <c r="G691" s="1">
        <v>25.51</v>
      </c>
      <c r="H691" s="154">
        <v>44545</v>
      </c>
    </row>
    <row r="692" spans="1:8">
      <c r="A692" t="s">
        <v>9</v>
      </c>
      <c r="B692" t="s">
        <v>8</v>
      </c>
      <c r="C692">
        <v>1012</v>
      </c>
      <c r="D692">
        <v>21633</v>
      </c>
      <c r="E692">
        <v>163.30000000000001</v>
      </c>
      <c r="F692">
        <v>27.76</v>
      </c>
      <c r="G692" s="1">
        <v>191.06</v>
      </c>
      <c r="H692" s="154">
        <v>44552</v>
      </c>
    </row>
    <row r="693" spans="1:8">
      <c r="A693" t="s">
        <v>9</v>
      </c>
      <c r="B693" t="s">
        <v>15</v>
      </c>
      <c r="C693">
        <v>1013</v>
      </c>
      <c r="D693">
        <v>21634</v>
      </c>
      <c r="E693">
        <v>29</v>
      </c>
      <c r="F693">
        <v>4.93</v>
      </c>
      <c r="G693" s="1">
        <v>33.93</v>
      </c>
      <c r="H693" s="154">
        <v>44552</v>
      </c>
    </row>
    <row r="694" spans="1:8">
      <c r="A694" t="s">
        <v>17</v>
      </c>
      <c r="B694" t="s">
        <v>16</v>
      </c>
      <c r="C694">
        <v>1014</v>
      </c>
      <c r="D694">
        <v>21635</v>
      </c>
      <c r="E694">
        <v>143.4</v>
      </c>
      <c r="F694">
        <v>24.38</v>
      </c>
      <c r="G694" s="1">
        <v>167.78</v>
      </c>
      <c r="H694" s="154">
        <v>44552</v>
      </c>
    </row>
    <row r="695" spans="1:8">
      <c r="A695" t="s">
        <v>17</v>
      </c>
      <c r="B695" t="s">
        <v>20</v>
      </c>
      <c r="C695">
        <v>1015</v>
      </c>
      <c r="D695">
        <v>21636</v>
      </c>
      <c r="E695">
        <v>21.2</v>
      </c>
      <c r="F695">
        <v>3.6</v>
      </c>
      <c r="G695" s="1">
        <v>24.8</v>
      </c>
      <c r="H695" s="154">
        <v>44552</v>
      </c>
    </row>
    <row r="696" spans="1:8">
      <c r="A696" t="s">
        <v>56</v>
      </c>
      <c r="B696" t="s">
        <v>55</v>
      </c>
      <c r="C696">
        <v>1016</v>
      </c>
      <c r="D696">
        <v>21637</v>
      </c>
      <c r="E696">
        <v>57.4</v>
      </c>
      <c r="F696">
        <v>9.76</v>
      </c>
      <c r="G696" s="1">
        <v>67.16</v>
      </c>
      <c r="H696" s="154">
        <v>44552</v>
      </c>
    </row>
    <row r="697" spans="1:8">
      <c r="A697" t="s">
        <v>17</v>
      </c>
      <c r="B697" t="s">
        <v>79</v>
      </c>
      <c r="C697">
        <v>1017</v>
      </c>
      <c r="D697">
        <v>21638</v>
      </c>
      <c r="E697">
        <v>151.80000000000001</v>
      </c>
      <c r="F697">
        <v>25.81</v>
      </c>
      <c r="G697" s="1">
        <v>177.61</v>
      </c>
      <c r="H697" s="154">
        <v>44552</v>
      </c>
    </row>
    <row r="698" spans="1:8">
      <c r="A698" t="s">
        <v>56</v>
      </c>
      <c r="B698" t="s">
        <v>55</v>
      </c>
      <c r="C698">
        <v>1018</v>
      </c>
      <c r="D698">
        <v>21639</v>
      </c>
      <c r="E698">
        <v>31.04</v>
      </c>
      <c r="F698">
        <v>5.28</v>
      </c>
      <c r="G698" s="1">
        <v>36.32</v>
      </c>
      <c r="H698" s="154">
        <v>44552</v>
      </c>
    </row>
    <row r="699" spans="1:8">
      <c r="A699" t="s">
        <v>71</v>
      </c>
      <c r="B699" t="s">
        <v>70</v>
      </c>
      <c r="C699">
        <v>1019</v>
      </c>
      <c r="D699">
        <v>21640</v>
      </c>
      <c r="E699">
        <v>18</v>
      </c>
      <c r="F699">
        <v>3.06</v>
      </c>
      <c r="G699" s="1">
        <v>21.06</v>
      </c>
      <c r="H699" s="154">
        <v>44552</v>
      </c>
    </row>
    <row r="700" spans="1:8">
      <c r="A700" t="s">
        <v>40</v>
      </c>
      <c r="B700" t="s">
        <v>39</v>
      </c>
      <c r="C700">
        <v>1020</v>
      </c>
      <c r="D700">
        <v>21641</v>
      </c>
      <c r="E700">
        <v>35</v>
      </c>
      <c r="F700">
        <v>5.95</v>
      </c>
      <c r="G700" s="1">
        <v>40.950000000000003</v>
      </c>
      <c r="H700" s="154">
        <v>44552</v>
      </c>
    </row>
    <row r="701" spans="1:8">
      <c r="A701" t="s">
        <v>118</v>
      </c>
      <c r="B701" t="s">
        <v>117</v>
      </c>
      <c r="C701">
        <v>1021</v>
      </c>
      <c r="D701">
        <v>21642</v>
      </c>
      <c r="E701">
        <v>57.4</v>
      </c>
      <c r="F701">
        <v>9.76</v>
      </c>
      <c r="G701" s="1">
        <v>67.16</v>
      </c>
      <c r="H701" s="154">
        <v>44552</v>
      </c>
    </row>
    <row r="702" spans="1:8">
      <c r="A702" t="s">
        <v>76</v>
      </c>
      <c r="B702" t="s">
        <v>75</v>
      </c>
      <c r="C702">
        <v>1022</v>
      </c>
      <c r="D702">
        <v>21643</v>
      </c>
      <c r="E702">
        <v>43.1</v>
      </c>
      <c r="F702">
        <v>7.33</v>
      </c>
      <c r="G702" s="1">
        <v>50.43</v>
      </c>
      <c r="H702" s="154">
        <v>44552</v>
      </c>
    </row>
    <row r="703" spans="1:8">
      <c r="A703" t="s">
        <v>93</v>
      </c>
      <c r="B703" t="s">
        <v>92</v>
      </c>
      <c r="C703">
        <v>1023</v>
      </c>
      <c r="D703">
        <v>21644</v>
      </c>
      <c r="E703">
        <v>34.700000000000003</v>
      </c>
      <c r="F703">
        <v>5.9</v>
      </c>
      <c r="G703" s="1">
        <v>40.6</v>
      </c>
      <c r="H703" s="154">
        <v>44552</v>
      </c>
    </row>
    <row r="704" spans="1:8">
      <c r="A704" t="s">
        <v>97</v>
      </c>
      <c r="B704" t="s">
        <v>96</v>
      </c>
      <c r="C704">
        <v>1024</v>
      </c>
      <c r="D704">
        <v>21645</v>
      </c>
      <c r="E704">
        <v>70</v>
      </c>
      <c r="F704">
        <v>11.9</v>
      </c>
      <c r="G704" s="1">
        <v>81.900000000000006</v>
      </c>
      <c r="H704" s="154">
        <v>44552</v>
      </c>
    </row>
    <row r="705" spans="1:8">
      <c r="A705" t="s">
        <v>120</v>
      </c>
      <c r="B705" t="s">
        <v>119</v>
      </c>
      <c r="C705">
        <v>1025</v>
      </c>
      <c r="D705">
        <v>21646</v>
      </c>
      <c r="E705">
        <v>23.1</v>
      </c>
      <c r="F705">
        <v>3.93</v>
      </c>
      <c r="G705" s="1">
        <v>27.03</v>
      </c>
      <c r="H705" s="154">
        <v>44552</v>
      </c>
    </row>
    <row r="706" spans="1:8">
      <c r="A706" t="s">
        <v>61</v>
      </c>
      <c r="B706" t="s">
        <v>60</v>
      </c>
      <c r="C706">
        <v>1026</v>
      </c>
      <c r="D706">
        <v>21647</v>
      </c>
      <c r="E706">
        <v>14.5</v>
      </c>
      <c r="F706">
        <v>2.4700000000000002</v>
      </c>
      <c r="G706" s="1">
        <v>16.97</v>
      </c>
      <c r="H706" s="154">
        <v>44552</v>
      </c>
    </row>
    <row r="707" spans="1:8">
      <c r="A707" t="s">
        <v>115</v>
      </c>
      <c r="B707" t="s">
        <v>114</v>
      </c>
      <c r="C707">
        <v>1027</v>
      </c>
      <c r="D707">
        <v>21648</v>
      </c>
      <c r="E707">
        <v>21.8</v>
      </c>
      <c r="F707">
        <v>3.71</v>
      </c>
      <c r="G707" s="1">
        <v>25.51</v>
      </c>
      <c r="H707" s="154">
        <v>44552</v>
      </c>
    </row>
    <row r="708" spans="1:8">
      <c r="A708" t="s">
        <v>9</v>
      </c>
      <c r="B708" t="s">
        <v>8</v>
      </c>
      <c r="C708">
        <v>1028</v>
      </c>
      <c r="D708">
        <v>21649</v>
      </c>
      <c r="E708">
        <v>181.4</v>
      </c>
      <c r="F708">
        <v>30.84</v>
      </c>
      <c r="G708" s="1">
        <v>212.24</v>
      </c>
      <c r="H708" s="154">
        <v>44559</v>
      </c>
    </row>
    <row r="709" spans="1:8">
      <c r="A709" t="s">
        <v>9</v>
      </c>
      <c r="B709" t="s">
        <v>15</v>
      </c>
      <c r="C709">
        <v>1029</v>
      </c>
      <c r="D709">
        <v>21650</v>
      </c>
      <c r="E709">
        <v>37.1</v>
      </c>
      <c r="F709">
        <v>6.31</v>
      </c>
      <c r="G709" s="1">
        <v>43.41</v>
      </c>
      <c r="H709" s="154">
        <v>44559</v>
      </c>
    </row>
    <row r="710" spans="1:8">
      <c r="A710" t="s">
        <v>17</v>
      </c>
      <c r="B710" t="s">
        <v>16</v>
      </c>
      <c r="C710">
        <v>1030</v>
      </c>
      <c r="D710">
        <v>21651</v>
      </c>
      <c r="E710">
        <v>140.19999999999999</v>
      </c>
      <c r="F710">
        <v>23.83</v>
      </c>
      <c r="G710" s="1">
        <v>164.03</v>
      </c>
      <c r="H710" s="154">
        <v>44559</v>
      </c>
    </row>
    <row r="711" spans="1:8">
      <c r="A711" t="s">
        <v>17</v>
      </c>
      <c r="B711" t="s">
        <v>20</v>
      </c>
      <c r="C711">
        <v>1031</v>
      </c>
      <c r="D711">
        <v>21652</v>
      </c>
      <c r="E711">
        <v>34.6</v>
      </c>
      <c r="F711">
        <v>5.88</v>
      </c>
      <c r="G711" s="1">
        <v>40.479999999999997</v>
      </c>
      <c r="H711" s="154">
        <v>44559</v>
      </c>
    </row>
    <row r="712" spans="1:8">
      <c r="A712" t="s">
        <v>56</v>
      </c>
      <c r="B712" t="s">
        <v>55</v>
      </c>
      <c r="C712">
        <v>1032</v>
      </c>
      <c r="D712">
        <v>21653</v>
      </c>
      <c r="E712">
        <v>29.3</v>
      </c>
      <c r="F712">
        <v>4.9800000000000004</v>
      </c>
      <c r="G712" s="1">
        <v>34.28</v>
      </c>
      <c r="H712" s="154">
        <v>44559</v>
      </c>
    </row>
    <row r="713" spans="1:8">
      <c r="A713" t="s">
        <v>17</v>
      </c>
      <c r="B713" t="s">
        <v>79</v>
      </c>
      <c r="C713">
        <v>1033</v>
      </c>
      <c r="D713">
        <v>21654</v>
      </c>
      <c r="E713">
        <v>151.5</v>
      </c>
      <c r="F713">
        <v>25.76</v>
      </c>
      <c r="G713" s="1">
        <v>177.26</v>
      </c>
      <c r="H713" s="154">
        <v>44559</v>
      </c>
    </row>
    <row r="714" spans="1:8">
      <c r="A714" t="s">
        <v>56</v>
      </c>
      <c r="B714" t="s">
        <v>55</v>
      </c>
      <c r="C714">
        <v>1034</v>
      </c>
      <c r="D714">
        <v>21655</v>
      </c>
      <c r="E714">
        <v>97.12</v>
      </c>
      <c r="F714">
        <v>16.510000000000002</v>
      </c>
      <c r="G714" s="1">
        <v>113.63</v>
      </c>
      <c r="H714" s="154">
        <v>44559</v>
      </c>
    </row>
    <row r="715" spans="1:8">
      <c r="A715" t="s">
        <v>71</v>
      </c>
      <c r="B715" t="s">
        <v>70</v>
      </c>
      <c r="C715">
        <v>1035</v>
      </c>
      <c r="D715">
        <v>21656</v>
      </c>
      <c r="E715">
        <v>18</v>
      </c>
      <c r="F715">
        <v>3.06</v>
      </c>
      <c r="G715" s="1">
        <v>21.06</v>
      </c>
      <c r="H715" s="154">
        <v>44559</v>
      </c>
    </row>
    <row r="716" spans="1:8">
      <c r="A716" t="s">
        <v>40</v>
      </c>
      <c r="B716" t="s">
        <v>39</v>
      </c>
      <c r="C716">
        <v>1036</v>
      </c>
      <c r="D716">
        <v>21657</v>
      </c>
      <c r="E716">
        <v>14</v>
      </c>
      <c r="F716">
        <v>2.38</v>
      </c>
      <c r="G716" s="1">
        <v>16.38</v>
      </c>
      <c r="H716" s="154">
        <v>44559</v>
      </c>
    </row>
    <row r="717" spans="1:8">
      <c r="A717" t="s">
        <v>118</v>
      </c>
      <c r="B717" t="s">
        <v>117</v>
      </c>
      <c r="C717">
        <v>1037</v>
      </c>
      <c r="D717">
        <v>21658</v>
      </c>
      <c r="E717">
        <v>71.900000000000006</v>
      </c>
      <c r="F717">
        <v>12.22</v>
      </c>
      <c r="G717" s="1">
        <v>84.12</v>
      </c>
      <c r="H717" s="154">
        <v>44559</v>
      </c>
    </row>
    <row r="718" spans="1:8">
      <c r="A718" t="s">
        <v>76</v>
      </c>
      <c r="B718" t="s">
        <v>75</v>
      </c>
      <c r="C718">
        <v>1038</v>
      </c>
      <c r="D718">
        <v>21659</v>
      </c>
      <c r="E718">
        <v>50.1</v>
      </c>
      <c r="F718">
        <v>8.52</v>
      </c>
      <c r="G718" s="1">
        <v>58.62</v>
      </c>
      <c r="H718" s="154">
        <v>44559</v>
      </c>
    </row>
    <row r="719" spans="1:8">
      <c r="A719" t="s">
        <v>93</v>
      </c>
      <c r="B719" t="s">
        <v>92</v>
      </c>
      <c r="C719">
        <v>1039</v>
      </c>
      <c r="D719">
        <v>21660</v>
      </c>
      <c r="E719">
        <v>34.799999999999997</v>
      </c>
      <c r="F719">
        <v>5.92</v>
      </c>
      <c r="G719" s="1">
        <v>40.72</v>
      </c>
      <c r="H719" s="154">
        <v>44559</v>
      </c>
    </row>
    <row r="720" spans="1:8">
      <c r="A720" t="s">
        <v>97</v>
      </c>
      <c r="B720" t="s">
        <v>96</v>
      </c>
      <c r="C720">
        <v>1040</v>
      </c>
      <c r="D720">
        <v>21661</v>
      </c>
      <c r="E720">
        <v>70</v>
      </c>
      <c r="F720">
        <v>11.9</v>
      </c>
      <c r="G720" s="1">
        <v>81.900000000000006</v>
      </c>
      <c r="H720" s="154">
        <v>44559</v>
      </c>
    </row>
    <row r="721" spans="1:8">
      <c r="A721" t="s">
        <v>120</v>
      </c>
      <c r="B721" t="s">
        <v>119</v>
      </c>
      <c r="C721">
        <v>1041</v>
      </c>
      <c r="D721">
        <v>21662</v>
      </c>
      <c r="E721">
        <v>23.1</v>
      </c>
      <c r="F721">
        <v>3.93</v>
      </c>
      <c r="G721" s="1">
        <v>27.03</v>
      </c>
      <c r="H721" s="154">
        <v>44559</v>
      </c>
    </row>
    <row r="722" spans="1:8">
      <c r="A722" t="s">
        <v>61</v>
      </c>
      <c r="B722" t="s">
        <v>60</v>
      </c>
      <c r="C722">
        <v>1042</v>
      </c>
      <c r="D722">
        <v>21663</v>
      </c>
      <c r="E722">
        <v>14.5</v>
      </c>
      <c r="F722">
        <v>2.4700000000000002</v>
      </c>
      <c r="G722" s="1">
        <v>16.97</v>
      </c>
      <c r="H722" s="154">
        <v>44559</v>
      </c>
    </row>
    <row r="723" spans="1:8">
      <c r="A723" t="s">
        <v>115</v>
      </c>
      <c r="B723" t="s">
        <v>114</v>
      </c>
      <c r="C723">
        <v>1043</v>
      </c>
      <c r="D723">
        <v>21664</v>
      </c>
      <c r="E723">
        <v>42.6</v>
      </c>
      <c r="F723">
        <v>7.24</v>
      </c>
      <c r="G723" s="1">
        <v>49.84</v>
      </c>
      <c r="H723" s="154">
        <v>44559</v>
      </c>
    </row>
    <row r="724" spans="1:8">
      <c r="E724">
        <f>SUM(E646:E723)</f>
        <v>8033.5199999999995</v>
      </c>
      <c r="F724">
        <f>SUM(F646:F723)</f>
        <v>1365.7900000000002</v>
      </c>
      <c r="G724" s="1">
        <f>SUM(G646:G723)</f>
        <v>9399.3100000000031</v>
      </c>
    </row>
    <row r="727" spans="1:8">
      <c r="A727" t="s">
        <v>9</v>
      </c>
      <c r="B727" t="s">
        <v>8</v>
      </c>
      <c r="C727">
        <v>1044</v>
      </c>
      <c r="D727">
        <v>22001</v>
      </c>
      <c r="E727">
        <v>299.51</v>
      </c>
      <c r="F727">
        <v>50.92</v>
      </c>
      <c r="G727" s="1">
        <v>350.43</v>
      </c>
      <c r="H727" s="154">
        <v>44566</v>
      </c>
    </row>
    <row r="728" spans="1:8">
      <c r="A728" t="s">
        <v>9</v>
      </c>
      <c r="B728" t="s">
        <v>15</v>
      </c>
      <c r="C728">
        <v>1045</v>
      </c>
      <c r="D728">
        <v>22002</v>
      </c>
      <c r="E728">
        <v>58.52</v>
      </c>
      <c r="F728">
        <v>9.9499999999999993</v>
      </c>
      <c r="G728" s="1">
        <v>68.47</v>
      </c>
      <c r="H728" s="154">
        <v>44566</v>
      </c>
    </row>
    <row r="729" spans="1:8">
      <c r="A729" t="s">
        <v>17</v>
      </c>
      <c r="B729" t="s">
        <v>16</v>
      </c>
      <c r="C729">
        <v>1046</v>
      </c>
      <c r="D729">
        <v>22003</v>
      </c>
      <c r="E729">
        <v>158.55000000000001</v>
      </c>
      <c r="F729">
        <v>26.95</v>
      </c>
      <c r="G729" s="1">
        <v>185.5</v>
      </c>
      <c r="H729" s="154">
        <v>44566</v>
      </c>
    </row>
    <row r="730" spans="1:8">
      <c r="A730" t="s">
        <v>17</v>
      </c>
      <c r="B730" t="s">
        <v>20</v>
      </c>
      <c r="C730">
        <v>1047</v>
      </c>
      <c r="D730">
        <v>22004</v>
      </c>
      <c r="E730">
        <v>43.49</v>
      </c>
      <c r="F730">
        <v>7.39</v>
      </c>
      <c r="G730" s="1">
        <v>50.88</v>
      </c>
      <c r="H730" s="154">
        <v>44566</v>
      </c>
    </row>
    <row r="731" spans="1:8">
      <c r="A731" t="s">
        <v>56</v>
      </c>
      <c r="B731" t="s">
        <v>55</v>
      </c>
      <c r="C731">
        <v>1048</v>
      </c>
      <c r="D731">
        <v>22005</v>
      </c>
      <c r="E731">
        <v>46.88</v>
      </c>
      <c r="F731">
        <v>7.97</v>
      </c>
      <c r="G731" s="1">
        <v>54.85</v>
      </c>
      <c r="H731" s="154">
        <v>44566</v>
      </c>
    </row>
    <row r="732" spans="1:8">
      <c r="A732" t="s">
        <v>17</v>
      </c>
      <c r="B732" t="s">
        <v>79</v>
      </c>
      <c r="C732">
        <v>1049</v>
      </c>
      <c r="D732">
        <v>22006</v>
      </c>
      <c r="E732">
        <v>172.94</v>
      </c>
      <c r="F732">
        <v>29.4</v>
      </c>
      <c r="G732" s="1">
        <v>202.34</v>
      </c>
      <c r="H732" s="154">
        <v>44566</v>
      </c>
    </row>
    <row r="733" spans="1:8">
      <c r="A733" t="s">
        <v>56</v>
      </c>
      <c r="B733" t="s">
        <v>55</v>
      </c>
      <c r="C733">
        <v>1050</v>
      </c>
      <c r="D733">
        <v>22007</v>
      </c>
      <c r="E733">
        <v>47.04</v>
      </c>
      <c r="F733">
        <v>8</v>
      </c>
      <c r="G733" s="1">
        <v>55.04</v>
      </c>
      <c r="H733" s="154">
        <v>44566</v>
      </c>
    </row>
    <row r="734" spans="1:8">
      <c r="A734" t="s">
        <v>71</v>
      </c>
      <c r="B734" t="s">
        <v>70</v>
      </c>
      <c r="C734">
        <v>1051</v>
      </c>
      <c r="D734">
        <v>22008</v>
      </c>
      <c r="E734">
        <v>18.920000000000002</v>
      </c>
      <c r="F734">
        <v>3.22</v>
      </c>
      <c r="G734" s="1">
        <v>22.14</v>
      </c>
      <c r="H734" s="154">
        <v>44566</v>
      </c>
    </row>
    <row r="735" spans="1:8">
      <c r="A735" t="s">
        <v>40</v>
      </c>
      <c r="B735" t="s">
        <v>39</v>
      </c>
      <c r="C735">
        <v>1052</v>
      </c>
      <c r="D735">
        <v>22009</v>
      </c>
      <c r="E735">
        <v>22.08</v>
      </c>
      <c r="F735">
        <v>3.75</v>
      </c>
      <c r="G735" s="1">
        <v>25.83</v>
      </c>
      <c r="H735" s="154">
        <v>44566</v>
      </c>
    </row>
    <row r="736" spans="1:8">
      <c r="A736" t="s">
        <v>118</v>
      </c>
      <c r="B736" t="s">
        <v>117</v>
      </c>
      <c r="C736">
        <v>1053</v>
      </c>
      <c r="D736">
        <v>22010</v>
      </c>
      <c r="E736">
        <v>36.72</v>
      </c>
      <c r="F736">
        <v>6.24</v>
      </c>
      <c r="G736" s="1">
        <v>42.96</v>
      </c>
      <c r="H736" s="154">
        <v>44566</v>
      </c>
    </row>
    <row r="737" spans="1:8">
      <c r="A737" t="s">
        <v>76</v>
      </c>
      <c r="B737" t="s">
        <v>75</v>
      </c>
      <c r="C737">
        <v>1054</v>
      </c>
      <c r="D737">
        <v>22011</v>
      </c>
      <c r="E737">
        <v>51.96</v>
      </c>
      <c r="F737">
        <v>8.83</v>
      </c>
      <c r="G737" s="1">
        <v>60.79</v>
      </c>
      <c r="H737" s="154">
        <v>44566</v>
      </c>
    </row>
    <row r="738" spans="1:8">
      <c r="A738" t="s">
        <v>93</v>
      </c>
      <c r="B738" t="s">
        <v>92</v>
      </c>
      <c r="C738">
        <v>1055</v>
      </c>
      <c r="D738">
        <v>22012</v>
      </c>
      <c r="E738">
        <v>36.24</v>
      </c>
      <c r="F738">
        <v>6.16</v>
      </c>
      <c r="G738" s="1">
        <v>42.4</v>
      </c>
      <c r="H738" s="154">
        <v>44566</v>
      </c>
    </row>
    <row r="739" spans="1:8">
      <c r="A739" t="s">
        <v>97</v>
      </c>
      <c r="B739" t="s">
        <v>96</v>
      </c>
      <c r="C739">
        <v>1056</v>
      </c>
      <c r="D739">
        <v>22013</v>
      </c>
      <c r="E739">
        <v>73.599999999999994</v>
      </c>
      <c r="F739">
        <v>12.51</v>
      </c>
      <c r="G739" s="1">
        <v>86.11</v>
      </c>
      <c r="H739" s="154">
        <v>44566</v>
      </c>
    </row>
    <row r="740" spans="1:8">
      <c r="A740" t="s">
        <v>120</v>
      </c>
      <c r="B740" t="s">
        <v>119</v>
      </c>
      <c r="C740">
        <v>1057</v>
      </c>
      <c r="D740">
        <v>22014</v>
      </c>
      <c r="E740">
        <v>24.29</v>
      </c>
      <c r="F740">
        <v>4.13</v>
      </c>
      <c r="G740" s="1">
        <v>28.42</v>
      </c>
      <c r="H740" s="154">
        <v>44566</v>
      </c>
    </row>
    <row r="741" spans="1:8">
      <c r="A741" t="s">
        <v>61</v>
      </c>
      <c r="B741" t="s">
        <v>60</v>
      </c>
      <c r="C741">
        <v>1058</v>
      </c>
      <c r="D741">
        <v>22015</v>
      </c>
      <c r="E741">
        <v>15.06</v>
      </c>
      <c r="F741">
        <v>2.56</v>
      </c>
      <c r="G741" s="1">
        <v>17.62</v>
      </c>
      <c r="H741" s="154">
        <v>44566</v>
      </c>
    </row>
    <row r="742" spans="1:8">
      <c r="A742" t="s">
        <v>111</v>
      </c>
      <c r="B742" t="s">
        <v>110</v>
      </c>
      <c r="C742">
        <v>1059</v>
      </c>
      <c r="D742">
        <v>22016</v>
      </c>
      <c r="E742">
        <v>6359.04</v>
      </c>
      <c r="F742">
        <v>1081.04</v>
      </c>
      <c r="G742" s="1">
        <v>7440.08</v>
      </c>
      <c r="H742" s="154">
        <v>44571</v>
      </c>
    </row>
    <row r="743" spans="1:8">
      <c r="A743" t="s">
        <v>95</v>
      </c>
      <c r="B743" t="s">
        <v>94</v>
      </c>
      <c r="C743">
        <v>1060</v>
      </c>
      <c r="D743">
        <v>22017</v>
      </c>
      <c r="E743">
        <v>808</v>
      </c>
      <c r="F743">
        <v>137.36000000000001</v>
      </c>
      <c r="G743" s="1">
        <v>945.36</v>
      </c>
      <c r="H743" s="154">
        <v>44571</v>
      </c>
    </row>
    <row r="744" spans="1:8">
      <c r="A744" t="s">
        <v>9</v>
      </c>
      <c r="B744" t="s">
        <v>8</v>
      </c>
      <c r="C744">
        <v>1061</v>
      </c>
      <c r="D744">
        <v>22018</v>
      </c>
      <c r="E744">
        <v>265.23</v>
      </c>
      <c r="F744">
        <v>45.09</v>
      </c>
      <c r="G744" s="1">
        <v>310.32</v>
      </c>
      <c r="H744" s="154">
        <v>44573</v>
      </c>
    </row>
    <row r="745" spans="1:8">
      <c r="A745" t="s">
        <v>9</v>
      </c>
      <c r="B745" t="s">
        <v>15</v>
      </c>
      <c r="C745">
        <v>1062</v>
      </c>
      <c r="D745">
        <v>22019</v>
      </c>
      <c r="E745">
        <v>52.38</v>
      </c>
      <c r="F745">
        <v>8.9</v>
      </c>
      <c r="G745" s="1">
        <v>61.28</v>
      </c>
      <c r="H745" s="154">
        <v>44573</v>
      </c>
    </row>
    <row r="746" spans="1:8">
      <c r="A746" t="s">
        <v>17</v>
      </c>
      <c r="B746" t="s">
        <v>16</v>
      </c>
      <c r="C746">
        <v>1063</v>
      </c>
      <c r="D746">
        <v>22020</v>
      </c>
      <c r="E746">
        <v>159.19</v>
      </c>
      <c r="F746">
        <v>27.06</v>
      </c>
      <c r="G746" s="1">
        <v>186.25</v>
      </c>
      <c r="H746" s="154">
        <v>44573</v>
      </c>
    </row>
    <row r="747" spans="1:8">
      <c r="A747" t="s">
        <v>17</v>
      </c>
      <c r="B747" t="s">
        <v>20</v>
      </c>
      <c r="C747">
        <v>1064</v>
      </c>
      <c r="D747">
        <v>22021</v>
      </c>
      <c r="E747">
        <v>44.13</v>
      </c>
      <c r="F747">
        <v>7.5</v>
      </c>
      <c r="G747" s="1">
        <v>51.63</v>
      </c>
      <c r="H747" s="154">
        <v>44573</v>
      </c>
    </row>
    <row r="748" spans="1:8">
      <c r="A748" t="s">
        <v>56</v>
      </c>
      <c r="B748" t="s">
        <v>55</v>
      </c>
      <c r="C748">
        <v>1065</v>
      </c>
      <c r="D748">
        <v>22022</v>
      </c>
      <c r="E748">
        <v>64.38</v>
      </c>
      <c r="F748">
        <v>10.94</v>
      </c>
      <c r="G748" s="1">
        <v>75.319999999999993</v>
      </c>
      <c r="H748" s="154">
        <v>44573</v>
      </c>
    </row>
    <row r="749" spans="1:8">
      <c r="A749" t="s">
        <v>17</v>
      </c>
      <c r="B749" t="s">
        <v>79</v>
      </c>
      <c r="C749">
        <v>1066</v>
      </c>
      <c r="D749">
        <v>22023</v>
      </c>
      <c r="E749">
        <v>185.22</v>
      </c>
      <c r="F749">
        <v>31.49</v>
      </c>
      <c r="G749" s="1">
        <v>216.71</v>
      </c>
      <c r="H749" s="154">
        <v>44573</v>
      </c>
    </row>
    <row r="750" spans="1:8">
      <c r="A750" t="s">
        <v>56</v>
      </c>
      <c r="B750" t="s">
        <v>55</v>
      </c>
      <c r="C750">
        <v>1067</v>
      </c>
      <c r="D750">
        <v>22024</v>
      </c>
      <c r="E750">
        <v>47.57</v>
      </c>
      <c r="F750">
        <v>8.09</v>
      </c>
      <c r="G750" s="1">
        <v>55.66</v>
      </c>
      <c r="H750" s="154">
        <v>44573</v>
      </c>
    </row>
    <row r="751" spans="1:8">
      <c r="A751" t="s">
        <v>71</v>
      </c>
      <c r="B751" t="s">
        <v>70</v>
      </c>
      <c r="C751">
        <v>1068</v>
      </c>
      <c r="D751">
        <v>22025</v>
      </c>
      <c r="E751">
        <v>18.920000000000002</v>
      </c>
      <c r="F751">
        <v>3.22</v>
      </c>
      <c r="G751" s="1">
        <v>22.14</v>
      </c>
      <c r="H751" s="154">
        <v>44573</v>
      </c>
    </row>
    <row r="752" spans="1:8">
      <c r="A752" t="s">
        <v>40</v>
      </c>
      <c r="B752" t="s">
        <v>39</v>
      </c>
      <c r="C752">
        <v>1069</v>
      </c>
      <c r="D752">
        <v>22026</v>
      </c>
      <c r="E752">
        <v>22.08</v>
      </c>
      <c r="F752">
        <v>3.75</v>
      </c>
      <c r="G752" s="1">
        <v>25.83</v>
      </c>
      <c r="H752" s="154">
        <v>44573</v>
      </c>
    </row>
    <row r="753" spans="1:8">
      <c r="A753" t="s">
        <v>118</v>
      </c>
      <c r="B753" t="s">
        <v>117</v>
      </c>
      <c r="C753">
        <v>1070</v>
      </c>
      <c r="D753">
        <v>22027</v>
      </c>
      <c r="E753">
        <v>45.26</v>
      </c>
      <c r="F753">
        <v>7.69</v>
      </c>
      <c r="G753" s="1">
        <v>52.95</v>
      </c>
      <c r="H753" s="154">
        <v>44573</v>
      </c>
    </row>
    <row r="754" spans="1:8">
      <c r="A754" t="s">
        <v>76</v>
      </c>
      <c r="B754" t="s">
        <v>75</v>
      </c>
      <c r="C754">
        <v>1071</v>
      </c>
      <c r="D754">
        <v>22028</v>
      </c>
      <c r="E754">
        <v>52.62</v>
      </c>
      <c r="F754">
        <v>8.9499999999999993</v>
      </c>
      <c r="G754" s="1">
        <v>61.57</v>
      </c>
      <c r="H754" s="154">
        <v>44573</v>
      </c>
    </row>
    <row r="755" spans="1:8">
      <c r="A755" t="s">
        <v>93</v>
      </c>
      <c r="B755" t="s">
        <v>92</v>
      </c>
      <c r="C755">
        <v>1072</v>
      </c>
      <c r="D755">
        <v>22029</v>
      </c>
      <c r="E755">
        <v>35.880000000000003</v>
      </c>
      <c r="F755">
        <v>6.1</v>
      </c>
      <c r="G755" s="1">
        <v>41.98</v>
      </c>
      <c r="H755" s="154">
        <v>44573</v>
      </c>
    </row>
    <row r="756" spans="1:8">
      <c r="A756" t="s">
        <v>97</v>
      </c>
      <c r="B756" t="s">
        <v>96</v>
      </c>
      <c r="C756">
        <v>1073</v>
      </c>
      <c r="D756">
        <v>22030</v>
      </c>
      <c r="E756">
        <v>73.599999999999994</v>
      </c>
      <c r="F756">
        <v>12.51</v>
      </c>
      <c r="G756" s="1">
        <v>86.11</v>
      </c>
      <c r="H756" s="154">
        <v>44573</v>
      </c>
    </row>
    <row r="757" spans="1:8">
      <c r="A757" t="s">
        <v>120</v>
      </c>
      <c r="B757" t="s">
        <v>119</v>
      </c>
      <c r="C757">
        <v>1074</v>
      </c>
      <c r="D757">
        <v>22031</v>
      </c>
      <c r="E757">
        <v>24.29</v>
      </c>
      <c r="F757">
        <v>4.13</v>
      </c>
      <c r="G757" s="1">
        <v>28.42</v>
      </c>
      <c r="H757" s="154">
        <v>44573</v>
      </c>
    </row>
    <row r="758" spans="1:8">
      <c r="A758" t="s">
        <v>61</v>
      </c>
      <c r="B758" t="s">
        <v>60</v>
      </c>
      <c r="C758">
        <v>1075</v>
      </c>
      <c r="D758">
        <v>22032</v>
      </c>
      <c r="E758">
        <v>15.24</v>
      </c>
      <c r="F758">
        <v>2.59</v>
      </c>
      <c r="G758" s="1">
        <v>17.829999999999998</v>
      </c>
      <c r="H758" s="154">
        <v>44573</v>
      </c>
    </row>
    <row r="759" spans="1:8">
      <c r="A759" t="s">
        <v>115</v>
      </c>
      <c r="B759" t="s">
        <v>114</v>
      </c>
      <c r="C759">
        <v>1076</v>
      </c>
      <c r="D759">
        <v>22033</v>
      </c>
      <c r="E759">
        <v>22.89</v>
      </c>
      <c r="F759">
        <v>3.89</v>
      </c>
      <c r="G759" s="1">
        <v>26.78</v>
      </c>
      <c r="H759" s="154">
        <v>44573</v>
      </c>
    </row>
    <row r="760" spans="1:8">
      <c r="A760" t="s">
        <v>9</v>
      </c>
      <c r="B760" t="s">
        <v>8</v>
      </c>
      <c r="C760">
        <v>1077</v>
      </c>
      <c r="D760">
        <v>22034</v>
      </c>
      <c r="E760">
        <v>206.26</v>
      </c>
      <c r="F760">
        <v>35.06</v>
      </c>
      <c r="G760" s="1">
        <v>241.32</v>
      </c>
      <c r="H760" s="154">
        <v>44580</v>
      </c>
    </row>
    <row r="761" spans="1:8">
      <c r="A761" t="s">
        <v>9</v>
      </c>
      <c r="B761" t="s">
        <v>15</v>
      </c>
      <c r="C761">
        <v>1078</v>
      </c>
      <c r="D761">
        <v>22035</v>
      </c>
      <c r="E761">
        <v>49.95</v>
      </c>
      <c r="F761">
        <v>8.49</v>
      </c>
      <c r="G761" s="1">
        <v>58.44</v>
      </c>
      <c r="H761" s="154">
        <v>44580</v>
      </c>
    </row>
    <row r="762" spans="1:8">
      <c r="A762" t="s">
        <v>17</v>
      </c>
      <c r="B762" t="s">
        <v>16</v>
      </c>
      <c r="C762">
        <v>1079</v>
      </c>
      <c r="D762">
        <v>22036</v>
      </c>
      <c r="E762">
        <v>130.6</v>
      </c>
      <c r="F762">
        <v>22.2</v>
      </c>
      <c r="G762" s="1">
        <v>152.80000000000001</v>
      </c>
      <c r="H762" s="154">
        <v>44580</v>
      </c>
    </row>
    <row r="763" spans="1:8">
      <c r="A763" t="s">
        <v>17</v>
      </c>
      <c r="B763" t="s">
        <v>20</v>
      </c>
      <c r="C763">
        <v>1080</v>
      </c>
      <c r="D763">
        <v>22037</v>
      </c>
      <c r="E763">
        <v>49.63</v>
      </c>
      <c r="F763">
        <v>8.44</v>
      </c>
      <c r="G763" s="1">
        <v>58.07</v>
      </c>
      <c r="H763" s="154">
        <v>44580</v>
      </c>
    </row>
    <row r="764" spans="1:8">
      <c r="A764" t="s">
        <v>17</v>
      </c>
      <c r="B764" t="s">
        <v>79</v>
      </c>
      <c r="C764">
        <v>1081</v>
      </c>
      <c r="D764">
        <v>22038</v>
      </c>
      <c r="E764">
        <v>194.94</v>
      </c>
      <c r="F764">
        <v>33.14</v>
      </c>
      <c r="G764" s="1">
        <v>228.08</v>
      </c>
      <c r="H764" s="154">
        <v>44580</v>
      </c>
    </row>
    <row r="765" spans="1:8">
      <c r="A765" t="s">
        <v>56</v>
      </c>
      <c r="B765" t="s">
        <v>55</v>
      </c>
      <c r="C765">
        <v>1082</v>
      </c>
      <c r="D765">
        <v>22039</v>
      </c>
      <c r="E765">
        <v>47.57</v>
      </c>
      <c r="F765">
        <v>8.09</v>
      </c>
      <c r="G765" s="1">
        <v>55.66</v>
      </c>
      <c r="H765" s="154">
        <v>44580</v>
      </c>
    </row>
    <row r="766" spans="1:8">
      <c r="A766" t="s">
        <v>71</v>
      </c>
      <c r="B766" t="s">
        <v>70</v>
      </c>
      <c r="C766">
        <v>1083</v>
      </c>
      <c r="D766">
        <v>22040</v>
      </c>
      <c r="E766">
        <v>18.920000000000002</v>
      </c>
      <c r="F766">
        <v>3.22</v>
      </c>
      <c r="G766" s="1">
        <v>22.14</v>
      </c>
      <c r="H766" s="154">
        <v>44580</v>
      </c>
    </row>
    <row r="767" spans="1:8">
      <c r="A767" t="s">
        <v>40</v>
      </c>
      <c r="B767" t="s">
        <v>39</v>
      </c>
      <c r="C767">
        <v>1084</v>
      </c>
      <c r="D767">
        <v>22041</v>
      </c>
      <c r="E767">
        <v>14.72</v>
      </c>
      <c r="F767">
        <v>2.5</v>
      </c>
      <c r="G767" s="1">
        <v>17.22</v>
      </c>
      <c r="H767" s="154">
        <v>44580</v>
      </c>
    </row>
    <row r="768" spans="1:8">
      <c r="A768" t="s">
        <v>118</v>
      </c>
      <c r="B768" t="s">
        <v>117</v>
      </c>
      <c r="C768">
        <v>1085</v>
      </c>
      <c r="D768">
        <v>22042</v>
      </c>
      <c r="E768">
        <v>45.26</v>
      </c>
      <c r="F768">
        <v>7.69</v>
      </c>
      <c r="G768" s="1">
        <v>52.95</v>
      </c>
      <c r="H768" s="154">
        <v>44580</v>
      </c>
    </row>
    <row r="769" spans="1:8">
      <c r="A769" t="s">
        <v>76</v>
      </c>
      <c r="B769" t="s">
        <v>75</v>
      </c>
      <c r="C769">
        <v>1086</v>
      </c>
      <c r="D769">
        <v>22043</v>
      </c>
      <c r="E769">
        <v>52.62</v>
      </c>
      <c r="F769">
        <v>8.9499999999999993</v>
      </c>
      <c r="G769" s="1">
        <v>61.57</v>
      </c>
      <c r="H769" s="154">
        <v>44580</v>
      </c>
    </row>
    <row r="770" spans="1:8">
      <c r="A770" t="s">
        <v>93</v>
      </c>
      <c r="B770" t="s">
        <v>92</v>
      </c>
      <c r="C770">
        <v>1087</v>
      </c>
      <c r="D770">
        <v>22044</v>
      </c>
      <c r="E770">
        <v>35.880000000000003</v>
      </c>
      <c r="F770">
        <v>6.1</v>
      </c>
      <c r="G770" s="1">
        <v>41.98</v>
      </c>
      <c r="H770" s="154">
        <v>44580</v>
      </c>
    </row>
    <row r="771" spans="1:8">
      <c r="A771" t="s">
        <v>97</v>
      </c>
      <c r="B771" t="s">
        <v>96</v>
      </c>
      <c r="C771">
        <v>1088</v>
      </c>
      <c r="D771">
        <v>22045</v>
      </c>
      <c r="E771">
        <v>73.599999999999994</v>
      </c>
      <c r="F771">
        <v>12.51</v>
      </c>
      <c r="G771" s="1">
        <v>86.11</v>
      </c>
      <c r="H771" s="154">
        <v>44580</v>
      </c>
    </row>
    <row r="772" spans="1:8">
      <c r="A772" t="s">
        <v>120</v>
      </c>
      <c r="B772" t="s">
        <v>119</v>
      </c>
      <c r="C772">
        <v>1089</v>
      </c>
      <c r="D772">
        <v>22046</v>
      </c>
      <c r="E772">
        <v>24.29</v>
      </c>
      <c r="F772">
        <v>4.13</v>
      </c>
      <c r="G772" s="1">
        <v>28.42</v>
      </c>
      <c r="H772" s="154">
        <v>44580</v>
      </c>
    </row>
    <row r="773" spans="1:8">
      <c r="A773" t="s">
        <v>61</v>
      </c>
      <c r="B773" t="s">
        <v>60</v>
      </c>
      <c r="C773">
        <v>1090</v>
      </c>
      <c r="D773">
        <v>22047</v>
      </c>
      <c r="E773">
        <v>15.24</v>
      </c>
      <c r="F773">
        <v>2.59</v>
      </c>
      <c r="G773" s="1">
        <v>17.829999999999998</v>
      </c>
      <c r="H773" s="154">
        <v>44580</v>
      </c>
    </row>
    <row r="774" spans="1:8">
      <c r="A774" t="s">
        <v>115</v>
      </c>
      <c r="B774" t="s">
        <v>114</v>
      </c>
      <c r="C774">
        <v>1091</v>
      </c>
      <c r="D774">
        <v>22048</v>
      </c>
      <c r="E774">
        <v>22.89</v>
      </c>
      <c r="F774">
        <v>3.89</v>
      </c>
      <c r="G774" s="1">
        <v>26.78</v>
      </c>
      <c r="H774" s="154">
        <v>44580</v>
      </c>
    </row>
    <row r="775" spans="1:8">
      <c r="A775" t="s">
        <v>9</v>
      </c>
      <c r="B775" t="s">
        <v>8</v>
      </c>
      <c r="C775">
        <v>1092</v>
      </c>
      <c r="D775">
        <v>22049</v>
      </c>
      <c r="E775">
        <v>237.47</v>
      </c>
      <c r="F775">
        <v>40.369999999999997</v>
      </c>
      <c r="G775" s="1">
        <v>277.83999999999997</v>
      </c>
      <c r="H775" s="154">
        <v>44587</v>
      </c>
    </row>
    <row r="776" spans="1:8">
      <c r="A776" t="s">
        <v>9</v>
      </c>
      <c r="B776" t="s">
        <v>15</v>
      </c>
      <c r="C776">
        <v>1093</v>
      </c>
      <c r="D776">
        <v>22050</v>
      </c>
      <c r="E776">
        <v>46.88</v>
      </c>
      <c r="F776">
        <v>7.97</v>
      </c>
      <c r="G776" s="1">
        <v>54.85</v>
      </c>
      <c r="H776" s="154">
        <v>44587</v>
      </c>
    </row>
    <row r="777" spans="1:8">
      <c r="A777" t="s">
        <v>17</v>
      </c>
      <c r="B777" t="s">
        <v>16</v>
      </c>
      <c r="C777">
        <v>1094</v>
      </c>
      <c r="D777">
        <v>22051</v>
      </c>
      <c r="E777">
        <v>118.64</v>
      </c>
      <c r="F777">
        <v>20.170000000000002</v>
      </c>
      <c r="G777" s="1">
        <v>138.81</v>
      </c>
      <c r="H777" s="154">
        <v>44587</v>
      </c>
    </row>
    <row r="778" spans="1:8">
      <c r="A778" t="s">
        <v>17</v>
      </c>
      <c r="B778" t="s">
        <v>20</v>
      </c>
      <c r="C778">
        <v>1095</v>
      </c>
      <c r="D778">
        <v>22052</v>
      </c>
      <c r="E778">
        <v>28.14</v>
      </c>
      <c r="F778">
        <v>4.78</v>
      </c>
      <c r="G778" s="1">
        <v>32.92</v>
      </c>
      <c r="H778" s="154">
        <v>44587</v>
      </c>
    </row>
    <row r="779" spans="1:8">
      <c r="A779" t="s">
        <v>17</v>
      </c>
      <c r="B779" t="s">
        <v>79</v>
      </c>
      <c r="C779">
        <v>1096</v>
      </c>
      <c r="D779">
        <v>22053</v>
      </c>
      <c r="E779">
        <v>182.66</v>
      </c>
      <c r="F779">
        <v>31.05</v>
      </c>
      <c r="G779" s="1">
        <v>213.71</v>
      </c>
      <c r="H779" s="154">
        <v>44587</v>
      </c>
    </row>
    <row r="780" spans="1:8">
      <c r="A780" t="s">
        <v>56</v>
      </c>
      <c r="B780" t="s">
        <v>55</v>
      </c>
      <c r="C780">
        <v>1097</v>
      </c>
      <c r="D780">
        <v>22054</v>
      </c>
      <c r="E780">
        <v>63.54</v>
      </c>
      <c r="F780">
        <v>10.8</v>
      </c>
      <c r="G780" s="1">
        <v>74.34</v>
      </c>
      <c r="H780" s="154">
        <v>44587</v>
      </c>
    </row>
    <row r="781" spans="1:8">
      <c r="A781" t="s">
        <v>71</v>
      </c>
      <c r="B781" t="s">
        <v>70</v>
      </c>
      <c r="C781">
        <v>1098</v>
      </c>
      <c r="D781">
        <v>22055</v>
      </c>
      <c r="E781">
        <v>18.920000000000002</v>
      </c>
      <c r="F781">
        <v>3.22</v>
      </c>
      <c r="G781" s="1">
        <v>22.14</v>
      </c>
      <c r="H781" s="154">
        <v>44587</v>
      </c>
    </row>
    <row r="782" spans="1:8">
      <c r="A782" t="s">
        <v>40</v>
      </c>
      <c r="B782" t="s">
        <v>39</v>
      </c>
      <c r="C782">
        <v>1099</v>
      </c>
      <c r="D782">
        <v>22056</v>
      </c>
      <c r="E782">
        <v>14.72</v>
      </c>
      <c r="F782">
        <v>2.5</v>
      </c>
      <c r="G782" s="1">
        <v>17.22</v>
      </c>
      <c r="H782" s="154">
        <v>44587</v>
      </c>
    </row>
    <row r="783" spans="1:8">
      <c r="A783" t="s">
        <v>118</v>
      </c>
      <c r="B783" t="s">
        <v>117</v>
      </c>
      <c r="C783">
        <v>1100</v>
      </c>
      <c r="D783">
        <v>22057</v>
      </c>
      <c r="E783">
        <v>52.62</v>
      </c>
      <c r="F783">
        <v>8.9499999999999993</v>
      </c>
      <c r="G783" s="1">
        <v>61.57</v>
      </c>
      <c r="H783" s="154">
        <v>44587</v>
      </c>
    </row>
    <row r="784" spans="1:8">
      <c r="A784" t="s">
        <v>76</v>
      </c>
      <c r="B784" t="s">
        <v>75</v>
      </c>
      <c r="C784">
        <v>1101</v>
      </c>
      <c r="D784">
        <v>22058</v>
      </c>
      <c r="E784">
        <v>52.62</v>
      </c>
      <c r="F784">
        <v>8.9499999999999993</v>
      </c>
      <c r="G784" s="1">
        <v>61.57</v>
      </c>
      <c r="H784" s="154">
        <v>44587</v>
      </c>
    </row>
    <row r="785" spans="1:8">
      <c r="A785" t="s">
        <v>93</v>
      </c>
      <c r="B785" t="s">
        <v>92</v>
      </c>
      <c r="C785">
        <v>1102</v>
      </c>
      <c r="D785">
        <v>22059</v>
      </c>
      <c r="E785">
        <v>35.880000000000003</v>
      </c>
      <c r="F785">
        <v>6.1</v>
      </c>
      <c r="G785" s="1">
        <v>41.98</v>
      </c>
      <c r="H785" s="154">
        <v>44587</v>
      </c>
    </row>
    <row r="786" spans="1:8">
      <c r="A786" t="s">
        <v>97</v>
      </c>
      <c r="B786" t="s">
        <v>96</v>
      </c>
      <c r="C786">
        <v>1103</v>
      </c>
      <c r="D786">
        <v>22060</v>
      </c>
      <c r="E786">
        <v>73.599999999999994</v>
      </c>
      <c r="F786">
        <v>12.51</v>
      </c>
      <c r="G786" s="1">
        <v>86.11</v>
      </c>
      <c r="H786" s="154">
        <v>44587</v>
      </c>
    </row>
    <row r="787" spans="1:8">
      <c r="A787" t="s">
        <v>103</v>
      </c>
      <c r="B787" t="s">
        <v>102</v>
      </c>
      <c r="C787">
        <v>1104</v>
      </c>
      <c r="D787">
        <v>22061</v>
      </c>
      <c r="E787">
        <v>24.29</v>
      </c>
      <c r="F787">
        <v>4.13</v>
      </c>
      <c r="G787" s="1">
        <v>28.42</v>
      </c>
      <c r="H787" s="154">
        <v>44587</v>
      </c>
    </row>
    <row r="788" spans="1:8">
      <c r="A788" t="s">
        <v>61</v>
      </c>
      <c r="B788" t="s">
        <v>60</v>
      </c>
      <c r="C788">
        <v>1105</v>
      </c>
      <c r="D788">
        <v>22062</v>
      </c>
      <c r="E788">
        <v>15.24</v>
      </c>
      <c r="F788">
        <v>2.59</v>
      </c>
      <c r="G788" s="1">
        <v>17.829999999999998</v>
      </c>
      <c r="H788" s="154">
        <v>44587</v>
      </c>
    </row>
    <row r="789" spans="1:8">
      <c r="A789" t="s">
        <v>115</v>
      </c>
      <c r="B789" t="s">
        <v>114</v>
      </c>
      <c r="C789">
        <v>1106</v>
      </c>
      <c r="D789">
        <v>22063</v>
      </c>
      <c r="E789">
        <v>22.89</v>
      </c>
      <c r="F789">
        <v>3.89</v>
      </c>
      <c r="G789" s="1">
        <v>26.78</v>
      </c>
      <c r="H789" s="154">
        <v>44587</v>
      </c>
    </row>
    <row r="790" spans="1:8">
      <c r="E790">
        <f>SUM(E727:E789)</f>
        <v>11372.199999999997</v>
      </c>
      <c r="F790">
        <f>SUM(F727:F789)</f>
        <v>1933.2600000000004</v>
      </c>
      <c r="G790" s="1">
        <f>SUM(G727:G789)</f>
        <v>13305.459999999997</v>
      </c>
    </row>
    <row r="793" spans="1:8">
      <c r="A793" t="s">
        <v>9</v>
      </c>
      <c r="B793" t="s">
        <v>8</v>
      </c>
      <c r="C793">
        <v>1107</v>
      </c>
      <c r="D793">
        <v>22064</v>
      </c>
      <c r="E793">
        <v>281.41000000000003</v>
      </c>
      <c r="F793">
        <v>47.84</v>
      </c>
      <c r="G793" s="1">
        <v>329.25</v>
      </c>
      <c r="H793" s="154">
        <v>44594</v>
      </c>
    </row>
    <row r="794" spans="1:8">
      <c r="A794" t="s">
        <v>9</v>
      </c>
      <c r="B794" t="s">
        <v>15</v>
      </c>
      <c r="C794">
        <v>1108</v>
      </c>
      <c r="D794">
        <v>22065</v>
      </c>
      <c r="E794">
        <v>46.56</v>
      </c>
      <c r="F794">
        <v>7.92</v>
      </c>
      <c r="G794" s="1">
        <v>54.48</v>
      </c>
      <c r="H794" s="154">
        <v>44594</v>
      </c>
    </row>
    <row r="795" spans="1:8">
      <c r="A795" t="s">
        <v>17</v>
      </c>
      <c r="B795" t="s">
        <v>16</v>
      </c>
      <c r="C795">
        <v>1109</v>
      </c>
      <c r="D795">
        <v>22066</v>
      </c>
      <c r="E795">
        <v>165.2</v>
      </c>
      <c r="F795">
        <v>28.08</v>
      </c>
      <c r="G795" s="1">
        <v>193.28</v>
      </c>
      <c r="H795" s="154">
        <v>44594</v>
      </c>
    </row>
    <row r="796" spans="1:8">
      <c r="A796" t="s">
        <v>17</v>
      </c>
      <c r="B796" t="s">
        <v>20</v>
      </c>
      <c r="C796">
        <v>1110</v>
      </c>
      <c r="D796">
        <v>22067</v>
      </c>
      <c r="E796">
        <v>36.71</v>
      </c>
      <c r="F796">
        <v>6.24</v>
      </c>
      <c r="G796" s="1">
        <v>42.95</v>
      </c>
      <c r="H796" s="154">
        <v>44594</v>
      </c>
    </row>
    <row r="797" spans="1:8">
      <c r="A797" t="s">
        <v>56</v>
      </c>
      <c r="B797" t="s">
        <v>55</v>
      </c>
      <c r="C797">
        <v>1111</v>
      </c>
      <c r="D797">
        <v>22068</v>
      </c>
      <c r="E797">
        <v>11.96</v>
      </c>
      <c r="F797">
        <v>2.0299999999999998</v>
      </c>
      <c r="G797" s="1">
        <v>13.99</v>
      </c>
      <c r="H797" s="154">
        <v>44594</v>
      </c>
    </row>
    <row r="798" spans="1:8">
      <c r="A798" t="s">
        <v>17</v>
      </c>
      <c r="B798" t="s">
        <v>79</v>
      </c>
      <c r="C798">
        <v>1112</v>
      </c>
      <c r="D798">
        <v>22069</v>
      </c>
      <c r="E798">
        <v>166.03</v>
      </c>
      <c r="F798">
        <v>28.23</v>
      </c>
      <c r="G798" s="1">
        <v>194.26</v>
      </c>
      <c r="H798" s="154">
        <v>44594</v>
      </c>
    </row>
    <row r="799" spans="1:8">
      <c r="A799" t="s">
        <v>56</v>
      </c>
      <c r="B799" t="s">
        <v>55</v>
      </c>
      <c r="C799">
        <v>1113</v>
      </c>
      <c r="D799">
        <v>22070</v>
      </c>
      <c r="E799">
        <v>47.57</v>
      </c>
      <c r="F799">
        <v>8.09</v>
      </c>
      <c r="G799" s="1">
        <v>55.66</v>
      </c>
      <c r="H799" s="154">
        <v>44594</v>
      </c>
    </row>
    <row r="800" spans="1:8">
      <c r="A800" t="s">
        <v>71</v>
      </c>
      <c r="B800" t="s">
        <v>70</v>
      </c>
      <c r="C800">
        <v>1114</v>
      </c>
      <c r="D800">
        <v>22071</v>
      </c>
      <c r="E800">
        <v>18.920000000000002</v>
      </c>
      <c r="F800">
        <v>3.22</v>
      </c>
      <c r="G800" s="1">
        <v>22.14</v>
      </c>
      <c r="H800" s="154">
        <v>44594</v>
      </c>
    </row>
    <row r="801" spans="1:8">
      <c r="A801" t="s">
        <v>40</v>
      </c>
      <c r="B801" t="s">
        <v>39</v>
      </c>
      <c r="C801">
        <v>1115</v>
      </c>
      <c r="D801">
        <v>22072</v>
      </c>
      <c r="E801">
        <v>22.08</v>
      </c>
      <c r="F801">
        <v>3.75</v>
      </c>
      <c r="G801" s="1">
        <v>25.83</v>
      </c>
      <c r="H801" s="154">
        <v>44594</v>
      </c>
    </row>
    <row r="802" spans="1:8">
      <c r="A802" t="s">
        <v>118</v>
      </c>
      <c r="B802" t="s">
        <v>117</v>
      </c>
      <c r="C802">
        <v>1116</v>
      </c>
      <c r="D802">
        <v>22073</v>
      </c>
      <c r="E802">
        <v>45.26</v>
      </c>
      <c r="F802">
        <v>7.69</v>
      </c>
      <c r="G802" s="1">
        <v>52.95</v>
      </c>
      <c r="H802" s="154">
        <v>44594</v>
      </c>
    </row>
    <row r="803" spans="1:8">
      <c r="A803" t="s">
        <v>76</v>
      </c>
      <c r="B803" t="s">
        <v>75</v>
      </c>
      <c r="C803">
        <v>1117</v>
      </c>
      <c r="D803">
        <v>22074</v>
      </c>
      <c r="E803">
        <v>52.62</v>
      </c>
      <c r="F803">
        <v>8.9499999999999993</v>
      </c>
      <c r="G803" s="1">
        <v>61.57</v>
      </c>
      <c r="H803" s="154">
        <v>44594</v>
      </c>
    </row>
    <row r="804" spans="1:8">
      <c r="A804" t="s">
        <v>93</v>
      </c>
      <c r="B804" t="s">
        <v>92</v>
      </c>
      <c r="C804">
        <v>1118</v>
      </c>
      <c r="D804">
        <v>22075</v>
      </c>
      <c r="E804">
        <v>35.880000000000003</v>
      </c>
      <c r="F804">
        <v>6.1</v>
      </c>
      <c r="G804" s="1">
        <v>41.98</v>
      </c>
      <c r="H804" s="154">
        <v>44594</v>
      </c>
    </row>
    <row r="805" spans="1:8">
      <c r="A805" t="s">
        <v>97</v>
      </c>
      <c r="B805" t="s">
        <v>96</v>
      </c>
      <c r="C805">
        <v>1119</v>
      </c>
      <c r="D805">
        <v>22076</v>
      </c>
      <c r="E805">
        <v>73.599999999999994</v>
      </c>
      <c r="F805">
        <v>12.51</v>
      </c>
      <c r="G805" s="1">
        <v>86.11</v>
      </c>
      <c r="H805" s="154">
        <v>44594</v>
      </c>
    </row>
    <row r="806" spans="1:8">
      <c r="A806" t="s">
        <v>103</v>
      </c>
      <c r="B806" t="s">
        <v>102</v>
      </c>
      <c r="C806">
        <v>1120</v>
      </c>
      <c r="D806">
        <v>22077</v>
      </c>
      <c r="E806">
        <v>48.58</v>
      </c>
      <c r="F806">
        <v>8.26</v>
      </c>
      <c r="G806" s="1">
        <v>56.84</v>
      </c>
      <c r="H806" s="154">
        <v>44594</v>
      </c>
    </row>
    <row r="807" spans="1:8">
      <c r="A807" t="s">
        <v>61</v>
      </c>
      <c r="B807" t="s">
        <v>60</v>
      </c>
      <c r="C807">
        <v>1121</v>
      </c>
      <c r="D807">
        <v>22078</v>
      </c>
      <c r="E807">
        <v>15.24</v>
      </c>
      <c r="F807">
        <v>2.59</v>
      </c>
      <c r="G807" s="1">
        <v>17.829999999999998</v>
      </c>
      <c r="H807" s="154">
        <v>44594</v>
      </c>
    </row>
    <row r="808" spans="1:8">
      <c r="A808" t="s">
        <v>115</v>
      </c>
      <c r="B808" t="s">
        <v>114</v>
      </c>
      <c r="C808">
        <v>1122</v>
      </c>
      <c r="D808">
        <v>22079</v>
      </c>
      <c r="E808">
        <v>22.89</v>
      </c>
      <c r="F808">
        <v>3.89</v>
      </c>
      <c r="G808" s="1">
        <v>26.78</v>
      </c>
      <c r="H808" s="154">
        <v>44594</v>
      </c>
    </row>
    <row r="809" spans="1:8" s="187" customFormat="1">
      <c r="G809" s="188"/>
      <c r="H809" s="189"/>
    </row>
    <row r="810" spans="1:8" s="187" customFormat="1">
      <c r="G810" s="188"/>
      <c r="H810" s="189"/>
    </row>
    <row r="811" spans="1:8" s="187" customFormat="1">
      <c r="G811" s="188"/>
      <c r="H811" s="189"/>
    </row>
    <row r="812" spans="1:8" s="187" customFormat="1">
      <c r="G812" s="188"/>
      <c r="H812" s="189"/>
    </row>
    <row r="813" spans="1:8" s="187" customFormat="1">
      <c r="G813" s="188"/>
      <c r="H813" s="189"/>
    </row>
    <row r="814" spans="1:8" s="187" customFormat="1">
      <c r="A814" s="187" t="s">
        <v>276</v>
      </c>
      <c r="G814" s="188"/>
      <c r="H814" s="189"/>
    </row>
    <row r="815" spans="1:8" s="187" customFormat="1">
      <c r="G815" s="188"/>
      <c r="H815" s="189"/>
    </row>
    <row r="816" spans="1:8" s="187" customFormat="1">
      <c r="G816" s="188"/>
      <c r="H816" s="189"/>
    </row>
    <row r="817" spans="1:8" s="187" customFormat="1">
      <c r="G817" s="188"/>
      <c r="H817" s="189"/>
    </row>
    <row r="818" spans="1:8" s="187" customFormat="1">
      <c r="G818" s="188"/>
      <c r="H818" s="189"/>
    </row>
    <row r="819" spans="1:8" s="187" customFormat="1">
      <c r="G819" s="188"/>
      <c r="H819" s="189"/>
    </row>
    <row r="820" spans="1:8" s="187" customFormat="1">
      <c r="G820" s="188"/>
      <c r="H820" s="189"/>
    </row>
    <row r="821" spans="1:8" s="187" customFormat="1">
      <c r="G821" s="188"/>
      <c r="H821" s="189"/>
    </row>
    <row r="822" spans="1:8" s="187" customFormat="1">
      <c r="G822" s="188"/>
      <c r="H822" s="189"/>
    </row>
    <row r="823" spans="1:8" s="187" customFormat="1">
      <c r="G823" s="188"/>
      <c r="H823" s="189"/>
    </row>
    <row r="824" spans="1:8" s="187" customFormat="1">
      <c r="G824" s="188"/>
      <c r="H824" s="189"/>
    </row>
    <row r="825" spans="1:8">
      <c r="A825" t="s">
        <v>9</v>
      </c>
      <c r="B825" t="s">
        <v>8</v>
      </c>
      <c r="C825">
        <v>1139</v>
      </c>
      <c r="D825">
        <v>22096</v>
      </c>
      <c r="E825">
        <v>213.68</v>
      </c>
      <c r="F825">
        <v>36.33</v>
      </c>
      <c r="G825" s="1">
        <v>250.01</v>
      </c>
      <c r="H825" s="154">
        <v>44601</v>
      </c>
    </row>
    <row r="826" spans="1:8">
      <c r="A826" t="s">
        <v>9</v>
      </c>
      <c r="B826" t="s">
        <v>15</v>
      </c>
      <c r="C826">
        <v>1140</v>
      </c>
      <c r="D826">
        <v>22097</v>
      </c>
      <c r="E826">
        <v>46.56</v>
      </c>
      <c r="F826">
        <v>7.92</v>
      </c>
      <c r="G826" s="1">
        <v>54.48</v>
      </c>
      <c r="H826" s="154">
        <v>44601</v>
      </c>
    </row>
    <row r="827" spans="1:8">
      <c r="A827" t="s">
        <v>17</v>
      </c>
      <c r="B827" t="s">
        <v>16</v>
      </c>
      <c r="C827">
        <v>1141</v>
      </c>
      <c r="D827">
        <v>22098</v>
      </c>
      <c r="E827">
        <v>124.01</v>
      </c>
      <c r="F827">
        <v>21.08</v>
      </c>
      <c r="G827" s="1">
        <v>145.09</v>
      </c>
      <c r="H827" s="154">
        <v>44601</v>
      </c>
    </row>
    <row r="828" spans="1:8">
      <c r="A828" t="s">
        <v>17</v>
      </c>
      <c r="B828" t="s">
        <v>20</v>
      </c>
      <c r="C828">
        <v>1142</v>
      </c>
      <c r="D828">
        <v>22099</v>
      </c>
      <c r="E828">
        <v>34.6</v>
      </c>
      <c r="F828">
        <v>5.88</v>
      </c>
      <c r="G828" s="1">
        <v>40.479999999999997</v>
      </c>
      <c r="H828" s="154">
        <v>44601</v>
      </c>
    </row>
    <row r="829" spans="1:8">
      <c r="A829" t="s">
        <v>56</v>
      </c>
      <c r="B829" t="s">
        <v>55</v>
      </c>
      <c r="C829">
        <v>1143</v>
      </c>
      <c r="D829">
        <v>22100</v>
      </c>
      <c r="E829">
        <v>48.09</v>
      </c>
      <c r="F829">
        <v>8.18</v>
      </c>
      <c r="G829" s="1">
        <v>56.27</v>
      </c>
      <c r="H829" s="154">
        <v>44601</v>
      </c>
    </row>
    <row r="830" spans="1:8">
      <c r="A830" t="s">
        <v>17</v>
      </c>
      <c r="B830" t="s">
        <v>79</v>
      </c>
      <c r="C830">
        <v>1144</v>
      </c>
      <c r="D830">
        <v>22101</v>
      </c>
      <c r="E830">
        <v>113.52</v>
      </c>
      <c r="F830">
        <v>19.3</v>
      </c>
      <c r="G830" s="1">
        <v>132.82</v>
      </c>
      <c r="H830" s="154">
        <v>44601</v>
      </c>
    </row>
    <row r="831" spans="1:8">
      <c r="A831" t="s">
        <v>56</v>
      </c>
      <c r="B831" t="s">
        <v>55</v>
      </c>
      <c r="C831">
        <v>1145</v>
      </c>
      <c r="D831">
        <v>22102</v>
      </c>
      <c r="E831">
        <v>62.94</v>
      </c>
      <c r="F831">
        <v>10.7</v>
      </c>
      <c r="G831" s="1">
        <v>73.64</v>
      </c>
      <c r="H831" s="154">
        <v>44601</v>
      </c>
    </row>
    <row r="832" spans="1:8">
      <c r="A832" t="s">
        <v>71</v>
      </c>
      <c r="B832" t="s">
        <v>70</v>
      </c>
      <c r="C832">
        <v>1146</v>
      </c>
      <c r="D832">
        <v>22103</v>
      </c>
      <c r="E832">
        <v>18.920000000000002</v>
      </c>
      <c r="F832">
        <v>3.22</v>
      </c>
      <c r="G832" s="1">
        <v>22.14</v>
      </c>
      <c r="H832" s="154">
        <v>44601</v>
      </c>
    </row>
    <row r="833" spans="1:8">
      <c r="A833" t="s">
        <v>40</v>
      </c>
      <c r="B833" t="s">
        <v>39</v>
      </c>
      <c r="C833">
        <v>1147</v>
      </c>
      <c r="D833">
        <v>22104</v>
      </c>
      <c r="E833">
        <v>14.72</v>
      </c>
      <c r="F833">
        <v>2.5</v>
      </c>
      <c r="G833" s="1">
        <v>17.22</v>
      </c>
      <c r="H833" s="154">
        <v>44601</v>
      </c>
    </row>
    <row r="834" spans="1:8">
      <c r="A834" t="s">
        <v>118</v>
      </c>
      <c r="B834" t="s">
        <v>117</v>
      </c>
      <c r="C834">
        <v>1148</v>
      </c>
      <c r="D834">
        <v>22105</v>
      </c>
      <c r="E834">
        <v>67.63</v>
      </c>
      <c r="F834">
        <v>11.5</v>
      </c>
      <c r="G834" s="1">
        <v>79.13</v>
      </c>
      <c r="H834" s="154">
        <v>44601</v>
      </c>
    </row>
    <row r="835" spans="1:8">
      <c r="A835" t="s">
        <v>76</v>
      </c>
      <c r="B835" t="s">
        <v>75</v>
      </c>
      <c r="C835">
        <v>1149</v>
      </c>
      <c r="D835">
        <v>22106</v>
      </c>
      <c r="E835">
        <v>52.62</v>
      </c>
      <c r="F835">
        <v>8.9499999999999993</v>
      </c>
      <c r="G835" s="1">
        <v>61.57</v>
      </c>
      <c r="H835" s="154">
        <v>44601</v>
      </c>
    </row>
    <row r="836" spans="1:8">
      <c r="A836" t="s">
        <v>93</v>
      </c>
      <c r="B836" t="s">
        <v>92</v>
      </c>
      <c r="C836">
        <v>1150</v>
      </c>
      <c r="D836">
        <v>22107</v>
      </c>
      <c r="E836">
        <v>35.880000000000003</v>
      </c>
      <c r="F836">
        <v>6.1</v>
      </c>
      <c r="G836" s="1">
        <v>41.98</v>
      </c>
      <c r="H836" s="154">
        <v>44601</v>
      </c>
    </row>
    <row r="837" spans="1:8">
      <c r="A837" t="s">
        <v>97</v>
      </c>
      <c r="B837" t="s">
        <v>96</v>
      </c>
      <c r="C837">
        <v>1151</v>
      </c>
      <c r="D837">
        <v>22108</v>
      </c>
      <c r="E837">
        <v>73.599999999999994</v>
      </c>
      <c r="F837">
        <v>12.51</v>
      </c>
      <c r="G837" s="1">
        <v>86.11</v>
      </c>
      <c r="H837" s="154">
        <v>44601</v>
      </c>
    </row>
    <row r="838" spans="1:8">
      <c r="A838" t="s">
        <v>103</v>
      </c>
      <c r="B838" t="s">
        <v>102</v>
      </c>
      <c r="C838">
        <v>1152</v>
      </c>
      <c r="D838">
        <v>22109</v>
      </c>
      <c r="E838">
        <v>24.29</v>
      </c>
      <c r="F838">
        <v>4.13</v>
      </c>
      <c r="G838" s="1">
        <v>28.42</v>
      </c>
      <c r="H838" s="154">
        <v>44601</v>
      </c>
    </row>
    <row r="839" spans="1:8">
      <c r="A839" s="151" t="s">
        <v>9</v>
      </c>
      <c r="B839" s="151" t="s">
        <v>8</v>
      </c>
      <c r="C839" s="151">
        <v>1137</v>
      </c>
      <c r="D839" s="151">
        <v>22110</v>
      </c>
      <c r="E839" s="151">
        <v>233.7</v>
      </c>
      <c r="F839" s="151">
        <v>39.729999999999997</v>
      </c>
      <c r="G839" s="183">
        <v>273.43</v>
      </c>
      <c r="H839" s="184">
        <v>44608</v>
      </c>
    </row>
    <row r="840" spans="1:8">
      <c r="A840" t="s">
        <v>9</v>
      </c>
      <c r="B840" t="s">
        <v>15</v>
      </c>
      <c r="C840">
        <v>1138</v>
      </c>
      <c r="D840">
        <v>22111</v>
      </c>
      <c r="E840">
        <v>29.42</v>
      </c>
      <c r="F840">
        <v>5</v>
      </c>
      <c r="G840" s="1">
        <v>34.42</v>
      </c>
      <c r="H840" s="154">
        <v>44608</v>
      </c>
    </row>
    <row r="841" spans="1:8">
      <c r="A841" t="s">
        <v>17</v>
      </c>
      <c r="B841" t="s">
        <v>16</v>
      </c>
      <c r="C841">
        <v>1139</v>
      </c>
      <c r="D841">
        <v>22112</v>
      </c>
      <c r="E841">
        <v>193.34</v>
      </c>
      <c r="F841">
        <v>32.869999999999997</v>
      </c>
      <c r="G841" s="1">
        <v>226.21</v>
      </c>
      <c r="H841" s="154">
        <v>44608</v>
      </c>
    </row>
    <row r="842" spans="1:8">
      <c r="A842" t="s">
        <v>17</v>
      </c>
      <c r="B842" t="s">
        <v>20</v>
      </c>
      <c r="C842">
        <v>1140</v>
      </c>
      <c r="D842">
        <v>22113</v>
      </c>
      <c r="E842">
        <v>30.06</v>
      </c>
      <c r="F842">
        <v>5.1100000000000003</v>
      </c>
      <c r="G842" s="1">
        <v>35.17</v>
      </c>
      <c r="H842" s="154">
        <v>44608</v>
      </c>
    </row>
    <row r="843" spans="1:8">
      <c r="A843" t="s">
        <v>56</v>
      </c>
      <c r="B843" t="s">
        <v>55</v>
      </c>
      <c r="C843">
        <v>1141</v>
      </c>
      <c r="D843">
        <v>22114</v>
      </c>
      <c r="E843">
        <v>14.39</v>
      </c>
      <c r="F843">
        <v>2.4500000000000002</v>
      </c>
      <c r="G843" s="1">
        <v>16.84</v>
      </c>
      <c r="H843" s="154">
        <v>44608</v>
      </c>
    </row>
    <row r="844" spans="1:8">
      <c r="A844" t="s">
        <v>17</v>
      </c>
      <c r="B844" t="s">
        <v>79</v>
      </c>
      <c r="C844">
        <v>1142</v>
      </c>
      <c r="D844">
        <v>22115</v>
      </c>
      <c r="E844">
        <v>175.56</v>
      </c>
      <c r="F844">
        <v>29.85</v>
      </c>
      <c r="G844" s="1">
        <v>205.41</v>
      </c>
      <c r="H844" s="154">
        <v>44608</v>
      </c>
    </row>
    <row r="845" spans="1:8">
      <c r="A845" t="s">
        <v>56</v>
      </c>
      <c r="B845" t="s">
        <v>55</v>
      </c>
      <c r="C845">
        <v>1143</v>
      </c>
      <c r="D845">
        <v>22116</v>
      </c>
      <c r="E845">
        <v>62.94</v>
      </c>
      <c r="F845">
        <v>10.7</v>
      </c>
      <c r="G845" s="1">
        <v>73.64</v>
      </c>
      <c r="H845" s="154">
        <v>44608</v>
      </c>
    </row>
    <row r="846" spans="1:8">
      <c r="A846" t="s">
        <v>71</v>
      </c>
      <c r="B846" t="s">
        <v>70</v>
      </c>
      <c r="C846">
        <v>1144</v>
      </c>
      <c r="D846">
        <v>22117</v>
      </c>
      <c r="E846">
        <v>18.920000000000002</v>
      </c>
      <c r="F846">
        <v>3.22</v>
      </c>
      <c r="G846" s="1">
        <v>22.14</v>
      </c>
      <c r="H846" s="154">
        <v>44608</v>
      </c>
    </row>
    <row r="847" spans="1:8">
      <c r="A847" t="s">
        <v>40</v>
      </c>
      <c r="B847" t="s">
        <v>39</v>
      </c>
      <c r="C847">
        <v>1145</v>
      </c>
      <c r="D847">
        <v>22118</v>
      </c>
      <c r="E847">
        <v>18.399999999999999</v>
      </c>
      <c r="F847">
        <v>3.13</v>
      </c>
      <c r="G847" s="1">
        <v>21.53</v>
      </c>
      <c r="H847" s="154">
        <v>44608</v>
      </c>
    </row>
    <row r="848" spans="1:8">
      <c r="A848" t="s">
        <v>118</v>
      </c>
      <c r="B848" t="s">
        <v>117</v>
      </c>
      <c r="C848">
        <v>1146</v>
      </c>
      <c r="D848">
        <v>22119</v>
      </c>
      <c r="E848">
        <v>67.63</v>
      </c>
      <c r="F848">
        <v>11.5</v>
      </c>
      <c r="G848" s="1">
        <v>79.13</v>
      </c>
      <c r="H848" s="154">
        <v>44608</v>
      </c>
    </row>
    <row r="849" spans="1:8">
      <c r="A849" t="s">
        <v>76</v>
      </c>
      <c r="B849" t="s">
        <v>75</v>
      </c>
      <c r="C849">
        <v>1152</v>
      </c>
      <c r="D849">
        <v>22120</v>
      </c>
      <c r="E849">
        <v>52.62</v>
      </c>
      <c r="F849">
        <v>8.9499999999999993</v>
      </c>
      <c r="G849" s="1">
        <v>61.57</v>
      </c>
      <c r="H849" s="154">
        <v>44608</v>
      </c>
    </row>
    <row r="850" spans="1:8">
      <c r="A850" t="s">
        <v>93</v>
      </c>
      <c r="B850" t="s">
        <v>92</v>
      </c>
      <c r="C850">
        <v>1148</v>
      </c>
      <c r="D850">
        <v>22121</v>
      </c>
      <c r="E850">
        <v>35.880000000000003</v>
      </c>
      <c r="F850">
        <v>6.1</v>
      </c>
      <c r="G850" s="1">
        <v>41.98</v>
      </c>
      <c r="H850" s="154">
        <v>44608</v>
      </c>
    </row>
    <row r="851" spans="1:8">
      <c r="A851" t="s">
        <v>97</v>
      </c>
      <c r="B851" t="s">
        <v>96</v>
      </c>
      <c r="C851">
        <v>1149</v>
      </c>
      <c r="D851">
        <v>22122</v>
      </c>
      <c r="E851">
        <v>73.599999999999994</v>
      </c>
      <c r="F851">
        <v>12.51</v>
      </c>
      <c r="G851" s="1">
        <v>86.11</v>
      </c>
      <c r="H851" s="154">
        <v>44608</v>
      </c>
    </row>
    <row r="852" spans="1:8">
      <c r="A852" t="s">
        <v>103</v>
      </c>
      <c r="B852" t="s">
        <v>102</v>
      </c>
      <c r="C852">
        <v>1150</v>
      </c>
      <c r="D852">
        <v>22123</v>
      </c>
      <c r="E852">
        <v>24.29</v>
      </c>
      <c r="F852">
        <v>4.13</v>
      </c>
      <c r="G852" s="1">
        <v>28.42</v>
      </c>
      <c r="H852" s="154">
        <v>44608</v>
      </c>
    </row>
    <row r="853" spans="1:8">
      <c r="A853" t="s">
        <v>115</v>
      </c>
      <c r="B853" t="s">
        <v>114</v>
      </c>
      <c r="C853">
        <v>1151</v>
      </c>
      <c r="D853">
        <v>22124</v>
      </c>
      <c r="E853">
        <v>22.37</v>
      </c>
      <c r="F853">
        <v>3.8</v>
      </c>
      <c r="G853" s="1">
        <v>26.17</v>
      </c>
      <c r="H853" s="154">
        <v>44608</v>
      </c>
    </row>
    <row r="854" spans="1:8">
      <c r="A854" t="s">
        <v>111</v>
      </c>
      <c r="B854" t="s">
        <v>110</v>
      </c>
      <c r="C854">
        <v>1153</v>
      </c>
      <c r="D854">
        <v>22125</v>
      </c>
      <c r="E854">
        <v>6468.96</v>
      </c>
      <c r="F854">
        <v>1099.72</v>
      </c>
      <c r="G854" s="1">
        <v>7568.68</v>
      </c>
      <c r="H854" s="154">
        <v>44613</v>
      </c>
    </row>
    <row r="855" spans="1:8">
      <c r="A855" t="s">
        <v>9</v>
      </c>
      <c r="B855" t="s">
        <v>8</v>
      </c>
      <c r="C855">
        <v>1154</v>
      </c>
      <c r="D855">
        <v>22126</v>
      </c>
      <c r="E855">
        <v>295.8</v>
      </c>
      <c r="F855">
        <v>50.29</v>
      </c>
      <c r="G855" s="1">
        <v>346.09</v>
      </c>
      <c r="H855" s="154">
        <v>44615</v>
      </c>
    </row>
    <row r="856" spans="1:8">
      <c r="A856" t="s">
        <v>9</v>
      </c>
      <c r="B856" t="s">
        <v>15</v>
      </c>
      <c r="C856">
        <v>1155</v>
      </c>
      <c r="D856">
        <v>22127</v>
      </c>
      <c r="E856">
        <v>46.88</v>
      </c>
      <c r="F856">
        <v>7.97</v>
      </c>
      <c r="G856" s="1">
        <v>54.85</v>
      </c>
      <c r="H856" s="154">
        <v>44615</v>
      </c>
    </row>
    <row r="857" spans="1:8">
      <c r="A857" t="s">
        <v>17</v>
      </c>
      <c r="B857" t="s">
        <v>16</v>
      </c>
      <c r="C857">
        <v>1156</v>
      </c>
      <c r="D857">
        <v>22128</v>
      </c>
      <c r="E857">
        <v>143.38999999999999</v>
      </c>
      <c r="F857">
        <v>24.38</v>
      </c>
      <c r="G857" s="1">
        <v>167.77</v>
      </c>
      <c r="H857" s="154">
        <v>44615</v>
      </c>
    </row>
    <row r="858" spans="1:8">
      <c r="A858" t="s">
        <v>17</v>
      </c>
      <c r="B858" t="s">
        <v>20</v>
      </c>
      <c r="C858">
        <v>1157</v>
      </c>
      <c r="D858">
        <v>22129</v>
      </c>
      <c r="E858">
        <v>32.17</v>
      </c>
      <c r="F858">
        <v>5.47</v>
      </c>
      <c r="G858" s="1">
        <v>37.64</v>
      </c>
      <c r="H858" s="154">
        <v>44615</v>
      </c>
    </row>
    <row r="859" spans="1:8">
      <c r="A859" t="s">
        <v>56</v>
      </c>
      <c r="B859" t="s">
        <v>55</v>
      </c>
      <c r="C859">
        <v>1158</v>
      </c>
      <c r="D859">
        <v>22130</v>
      </c>
      <c r="E859">
        <v>45.55</v>
      </c>
      <c r="F859">
        <v>7.74</v>
      </c>
      <c r="G859" s="1">
        <v>53.29</v>
      </c>
      <c r="H859" s="154">
        <v>44615</v>
      </c>
    </row>
    <row r="860" spans="1:8">
      <c r="A860" t="s">
        <v>17</v>
      </c>
      <c r="B860" t="s">
        <v>79</v>
      </c>
      <c r="C860">
        <v>1159</v>
      </c>
      <c r="D860">
        <v>22131</v>
      </c>
      <c r="E860">
        <v>158.74</v>
      </c>
      <c r="F860">
        <v>26.99</v>
      </c>
      <c r="G860" s="1">
        <v>185.73</v>
      </c>
      <c r="H860" s="154">
        <v>44615</v>
      </c>
    </row>
    <row r="861" spans="1:8">
      <c r="A861" t="s">
        <v>56</v>
      </c>
      <c r="B861" t="s">
        <v>55</v>
      </c>
      <c r="C861">
        <v>1160</v>
      </c>
      <c r="D861">
        <v>22132</v>
      </c>
      <c r="E861">
        <v>47.57</v>
      </c>
      <c r="F861">
        <v>8.09</v>
      </c>
      <c r="G861" s="1">
        <v>55.66</v>
      </c>
      <c r="H861" s="154">
        <v>44615</v>
      </c>
    </row>
    <row r="862" spans="1:8">
      <c r="A862" t="s">
        <v>71</v>
      </c>
      <c r="B862" t="s">
        <v>70</v>
      </c>
      <c r="C862">
        <v>1161</v>
      </c>
      <c r="D862">
        <v>22133</v>
      </c>
      <c r="E862">
        <v>22.6</v>
      </c>
      <c r="F862">
        <v>3.84</v>
      </c>
      <c r="G862" s="1">
        <v>26.44</v>
      </c>
      <c r="H862" s="154">
        <v>44615</v>
      </c>
    </row>
    <row r="863" spans="1:8">
      <c r="A863" t="s">
        <v>40</v>
      </c>
      <c r="B863" t="s">
        <v>39</v>
      </c>
      <c r="C863">
        <v>1162</v>
      </c>
      <c r="D863">
        <v>22134</v>
      </c>
      <c r="E863">
        <v>22.08</v>
      </c>
      <c r="F863">
        <v>3.75</v>
      </c>
      <c r="G863" s="1">
        <v>25.83</v>
      </c>
      <c r="H863" s="154">
        <v>44615</v>
      </c>
    </row>
    <row r="864" spans="1:8">
      <c r="A864" t="s">
        <v>118</v>
      </c>
      <c r="B864" t="s">
        <v>117</v>
      </c>
      <c r="C864">
        <v>1163</v>
      </c>
      <c r="D864">
        <v>22135</v>
      </c>
      <c r="E864">
        <v>67.63</v>
      </c>
      <c r="F864">
        <v>11.5</v>
      </c>
      <c r="G864" s="1">
        <v>79.13</v>
      </c>
      <c r="H864" s="154">
        <v>44615</v>
      </c>
    </row>
    <row r="865" spans="1:8">
      <c r="A865" t="s">
        <v>76</v>
      </c>
      <c r="B865" t="s">
        <v>75</v>
      </c>
      <c r="C865">
        <v>1164</v>
      </c>
      <c r="D865">
        <v>22136</v>
      </c>
      <c r="E865">
        <v>52.62</v>
      </c>
      <c r="F865">
        <v>8.9499999999999993</v>
      </c>
      <c r="G865" s="1">
        <v>61.57</v>
      </c>
      <c r="H865" s="154">
        <v>44615</v>
      </c>
    </row>
    <row r="866" spans="1:8">
      <c r="A866" t="s">
        <v>93</v>
      </c>
      <c r="B866" t="s">
        <v>92</v>
      </c>
      <c r="C866">
        <v>1165</v>
      </c>
      <c r="D866">
        <v>22137</v>
      </c>
      <c r="E866">
        <v>35.880000000000003</v>
      </c>
      <c r="F866">
        <v>6.1</v>
      </c>
      <c r="G866" s="1">
        <v>41.98</v>
      </c>
      <c r="H866" s="154">
        <v>44615</v>
      </c>
    </row>
    <row r="867" spans="1:8">
      <c r="A867" t="s">
        <v>97</v>
      </c>
      <c r="B867" t="s">
        <v>96</v>
      </c>
      <c r="C867">
        <v>1166</v>
      </c>
      <c r="D867">
        <v>22138</v>
      </c>
      <c r="E867">
        <v>73.599999999999994</v>
      </c>
      <c r="F867">
        <v>12.51</v>
      </c>
      <c r="G867" s="1">
        <v>86.11</v>
      </c>
      <c r="H867" s="154">
        <v>44615</v>
      </c>
    </row>
    <row r="868" spans="1:8">
      <c r="A868" t="s">
        <v>103</v>
      </c>
      <c r="B868" t="s">
        <v>102</v>
      </c>
      <c r="C868">
        <v>1167</v>
      </c>
      <c r="D868">
        <v>22139</v>
      </c>
      <c r="E868">
        <v>24.29</v>
      </c>
      <c r="F868">
        <v>4.13</v>
      </c>
      <c r="G868" s="1">
        <v>28.42</v>
      </c>
      <c r="H868" s="154">
        <v>44615</v>
      </c>
    </row>
    <row r="869" spans="1:8">
      <c r="A869" t="s">
        <v>115</v>
      </c>
      <c r="B869" t="s">
        <v>114</v>
      </c>
      <c r="C869">
        <v>1168</v>
      </c>
      <c r="D869">
        <v>22140</v>
      </c>
      <c r="E869">
        <v>22.37</v>
      </c>
      <c r="F869">
        <v>3.8</v>
      </c>
      <c r="G869" s="1">
        <v>26.17</v>
      </c>
      <c r="H869" s="154">
        <v>44615</v>
      </c>
    </row>
    <row r="870" spans="1:8">
      <c r="E870">
        <f>SUM(E793:E869)</f>
        <v>10634.819999999998</v>
      </c>
      <c r="F870">
        <f>SUM(F793:F869)</f>
        <v>1807.97</v>
      </c>
    </row>
    <row r="872" spans="1:8">
      <c r="A872" t="s">
        <v>9</v>
      </c>
      <c r="B872" t="s">
        <v>8</v>
      </c>
      <c r="C872">
        <v>1169</v>
      </c>
      <c r="D872">
        <v>22141</v>
      </c>
      <c r="E872">
        <v>273.35000000000002</v>
      </c>
      <c r="F872">
        <v>46.47</v>
      </c>
      <c r="G872" s="1">
        <v>319.82</v>
      </c>
      <c r="H872" s="154">
        <v>44622</v>
      </c>
    </row>
    <row r="873" spans="1:8">
      <c r="A873" t="s">
        <v>9</v>
      </c>
      <c r="B873" t="s">
        <v>15</v>
      </c>
      <c r="C873">
        <v>1170</v>
      </c>
      <c r="D873">
        <v>22142</v>
      </c>
      <c r="E873">
        <v>43.17</v>
      </c>
      <c r="F873">
        <v>7.34</v>
      </c>
      <c r="G873" s="1">
        <v>50.51</v>
      </c>
      <c r="H873" s="154">
        <v>44622</v>
      </c>
    </row>
    <row r="874" spans="1:8">
      <c r="A874" t="s">
        <v>17</v>
      </c>
      <c r="B874" t="s">
        <v>16</v>
      </c>
      <c r="C874">
        <v>1171</v>
      </c>
      <c r="D874">
        <v>22143</v>
      </c>
      <c r="E874">
        <v>138.72</v>
      </c>
      <c r="F874">
        <v>23.58</v>
      </c>
      <c r="G874" s="1">
        <v>162.30000000000001</v>
      </c>
      <c r="H874" s="154">
        <v>44622</v>
      </c>
    </row>
    <row r="875" spans="1:8">
      <c r="A875" t="s">
        <v>17</v>
      </c>
      <c r="B875" t="s">
        <v>20</v>
      </c>
      <c r="C875">
        <v>1172</v>
      </c>
      <c r="D875">
        <v>22144</v>
      </c>
      <c r="E875">
        <v>37.03</v>
      </c>
      <c r="F875">
        <v>6.3</v>
      </c>
      <c r="G875" s="1">
        <v>43.33</v>
      </c>
      <c r="H875" s="154">
        <v>44622</v>
      </c>
    </row>
    <row r="876" spans="1:8">
      <c r="A876" t="s">
        <v>56</v>
      </c>
      <c r="B876" t="s">
        <v>55</v>
      </c>
      <c r="C876">
        <v>1173</v>
      </c>
      <c r="D876">
        <v>22145</v>
      </c>
      <c r="E876">
        <v>44.13</v>
      </c>
      <c r="F876">
        <v>7.5</v>
      </c>
      <c r="G876" s="1">
        <v>51.63</v>
      </c>
      <c r="H876" s="154">
        <v>44622</v>
      </c>
    </row>
    <row r="877" spans="1:8">
      <c r="A877" t="s">
        <v>17</v>
      </c>
      <c r="B877" t="s">
        <v>79</v>
      </c>
      <c r="C877">
        <v>1174</v>
      </c>
      <c r="D877">
        <v>22146</v>
      </c>
      <c r="E877">
        <v>106.87</v>
      </c>
      <c r="F877">
        <v>18.170000000000002</v>
      </c>
      <c r="G877" s="1">
        <v>125.04</v>
      </c>
      <c r="H877" s="154">
        <v>44622</v>
      </c>
    </row>
    <row r="878" spans="1:8">
      <c r="A878" t="s">
        <v>56</v>
      </c>
      <c r="B878" t="s">
        <v>55</v>
      </c>
      <c r="C878">
        <v>1175</v>
      </c>
      <c r="D878">
        <v>22147</v>
      </c>
      <c r="E878">
        <v>66.900000000000006</v>
      </c>
      <c r="F878">
        <v>11.37</v>
      </c>
      <c r="G878" s="1">
        <v>78.27</v>
      </c>
      <c r="H878" s="154">
        <v>44622</v>
      </c>
    </row>
    <row r="879" spans="1:8">
      <c r="A879" t="s">
        <v>71</v>
      </c>
      <c r="B879" t="s">
        <v>70</v>
      </c>
      <c r="C879">
        <v>1176</v>
      </c>
      <c r="D879">
        <v>22148</v>
      </c>
      <c r="E879">
        <v>22.6</v>
      </c>
      <c r="F879">
        <v>3.84</v>
      </c>
      <c r="G879" s="1">
        <v>26.44</v>
      </c>
      <c r="H879" s="154">
        <v>44622</v>
      </c>
    </row>
    <row r="880" spans="1:8">
      <c r="A880" t="s">
        <v>40</v>
      </c>
      <c r="B880" t="s">
        <v>39</v>
      </c>
      <c r="C880">
        <v>1177</v>
      </c>
      <c r="D880">
        <v>22149</v>
      </c>
      <c r="E880">
        <v>22.08</v>
      </c>
      <c r="F880">
        <v>3.75</v>
      </c>
      <c r="G880" s="1">
        <v>25.83</v>
      </c>
      <c r="H880" s="154">
        <v>44622</v>
      </c>
    </row>
    <row r="881" spans="1:8">
      <c r="A881" t="s">
        <v>118</v>
      </c>
      <c r="B881" t="s">
        <v>117</v>
      </c>
      <c r="C881">
        <v>1178</v>
      </c>
      <c r="D881">
        <v>22150</v>
      </c>
      <c r="E881">
        <v>76.03</v>
      </c>
      <c r="F881">
        <v>12.93</v>
      </c>
      <c r="G881" s="1">
        <v>88.96</v>
      </c>
      <c r="H881" s="154">
        <v>44622</v>
      </c>
    </row>
    <row r="882" spans="1:8">
      <c r="A882" t="s">
        <v>76</v>
      </c>
      <c r="B882" t="s">
        <v>75</v>
      </c>
      <c r="C882">
        <v>1179</v>
      </c>
      <c r="D882">
        <v>22151</v>
      </c>
      <c r="E882">
        <v>52.62</v>
      </c>
      <c r="F882">
        <v>8.9499999999999993</v>
      </c>
      <c r="G882" s="1">
        <v>61.57</v>
      </c>
      <c r="H882" s="154">
        <v>44622</v>
      </c>
    </row>
    <row r="883" spans="1:8">
      <c r="A883" t="s">
        <v>93</v>
      </c>
      <c r="B883" t="s">
        <v>92</v>
      </c>
      <c r="C883">
        <v>1180</v>
      </c>
      <c r="D883">
        <v>22152</v>
      </c>
      <c r="E883">
        <v>35.880000000000003</v>
      </c>
      <c r="F883">
        <v>6.1</v>
      </c>
      <c r="G883" s="1">
        <v>41.98</v>
      </c>
      <c r="H883" s="154">
        <v>44622</v>
      </c>
    </row>
    <row r="884" spans="1:8">
      <c r="A884" t="s">
        <v>97</v>
      </c>
      <c r="B884" t="s">
        <v>96</v>
      </c>
      <c r="C884">
        <v>1181</v>
      </c>
      <c r="D884">
        <v>22153</v>
      </c>
      <c r="E884">
        <v>73.599999999999994</v>
      </c>
      <c r="F884">
        <v>12.51</v>
      </c>
      <c r="G884" s="1">
        <v>86.11</v>
      </c>
      <c r="H884" s="154">
        <v>44622</v>
      </c>
    </row>
    <row r="885" spans="1:8">
      <c r="A885" t="s">
        <v>103</v>
      </c>
      <c r="B885" t="s">
        <v>102</v>
      </c>
      <c r="C885">
        <v>1182</v>
      </c>
      <c r="D885">
        <v>22154</v>
      </c>
      <c r="E885">
        <v>24.29</v>
      </c>
      <c r="F885">
        <v>4.13</v>
      </c>
      <c r="G885" s="1">
        <v>28.42</v>
      </c>
      <c r="H885" s="154">
        <v>44622</v>
      </c>
    </row>
    <row r="886" spans="1:8" hidden="1">
      <c r="A886" t="s">
        <v>277</v>
      </c>
      <c r="B886" t="s">
        <v>277</v>
      </c>
      <c r="C886" t="s">
        <v>277</v>
      </c>
      <c r="D886" t="s">
        <v>277</v>
      </c>
      <c r="E886" t="s">
        <v>277</v>
      </c>
      <c r="F886" t="s">
        <v>277</v>
      </c>
      <c r="G886" s="1">
        <v>0</v>
      </c>
      <c r="H886" s="154">
        <v>44622</v>
      </c>
    </row>
    <row r="887" spans="1:8">
      <c r="A887" t="s">
        <v>115</v>
      </c>
      <c r="B887" t="s">
        <v>114</v>
      </c>
      <c r="C887">
        <v>1183</v>
      </c>
      <c r="D887">
        <v>22155</v>
      </c>
      <c r="E887">
        <v>36.86</v>
      </c>
      <c r="F887">
        <v>6.27</v>
      </c>
      <c r="G887" s="1">
        <v>43.13</v>
      </c>
      <c r="H887" s="154">
        <v>44622</v>
      </c>
    </row>
    <row r="888" spans="1:8" hidden="1"/>
    <row r="889" spans="1:8">
      <c r="A889" t="s">
        <v>9</v>
      </c>
      <c r="B889" t="s">
        <v>8</v>
      </c>
      <c r="C889">
        <v>1184</v>
      </c>
      <c r="D889">
        <v>22156</v>
      </c>
      <c r="E889">
        <v>273.35000000000002</v>
      </c>
      <c r="F889">
        <v>46.47</v>
      </c>
      <c r="G889" s="1">
        <v>319.82</v>
      </c>
      <c r="H889" s="154">
        <v>44624</v>
      </c>
    </row>
    <row r="890" spans="1:8">
      <c r="A890" t="s">
        <v>9</v>
      </c>
      <c r="B890" t="s">
        <v>15</v>
      </c>
      <c r="C890">
        <v>1185</v>
      </c>
      <c r="D890">
        <v>22157</v>
      </c>
      <c r="E890">
        <v>43.17</v>
      </c>
      <c r="F890">
        <v>7.34</v>
      </c>
      <c r="G890" s="1">
        <v>50.51</v>
      </c>
      <c r="H890" s="154">
        <v>44624</v>
      </c>
    </row>
    <row r="891" spans="1:8">
      <c r="A891" t="s">
        <v>17</v>
      </c>
      <c r="B891" t="s">
        <v>16</v>
      </c>
      <c r="C891">
        <v>1186</v>
      </c>
      <c r="D891">
        <v>22158</v>
      </c>
      <c r="E891">
        <v>138.72</v>
      </c>
      <c r="F891">
        <v>23.58</v>
      </c>
      <c r="G891" s="1">
        <v>162.30000000000001</v>
      </c>
      <c r="H891" s="154">
        <v>44624</v>
      </c>
    </row>
    <row r="892" spans="1:8">
      <c r="A892" t="s">
        <v>17</v>
      </c>
      <c r="B892" t="s">
        <v>20</v>
      </c>
      <c r="C892">
        <v>1187</v>
      </c>
      <c r="D892">
        <v>22159</v>
      </c>
      <c r="E892">
        <v>37.03</v>
      </c>
      <c r="F892">
        <v>6.3</v>
      </c>
      <c r="G892" s="1">
        <v>43.33</v>
      </c>
      <c r="H892" s="154">
        <v>44624</v>
      </c>
    </row>
    <row r="893" spans="1:8">
      <c r="A893" t="s">
        <v>56</v>
      </c>
      <c r="B893" t="s">
        <v>55</v>
      </c>
      <c r="C893">
        <v>1188</v>
      </c>
      <c r="D893">
        <v>22160</v>
      </c>
      <c r="E893">
        <v>44.13</v>
      </c>
      <c r="F893">
        <v>7.5</v>
      </c>
      <c r="G893" s="1">
        <v>51.63</v>
      </c>
      <c r="H893" s="154">
        <v>44624</v>
      </c>
    </row>
    <row r="894" spans="1:8">
      <c r="A894" t="s">
        <v>17</v>
      </c>
      <c r="B894" t="s">
        <v>79</v>
      </c>
      <c r="C894">
        <v>1189</v>
      </c>
      <c r="D894">
        <v>22161</v>
      </c>
      <c r="E894">
        <v>106.87</v>
      </c>
      <c r="F894">
        <v>18.170000000000002</v>
      </c>
      <c r="G894" s="1">
        <v>125.04</v>
      </c>
      <c r="H894" s="154">
        <v>44624</v>
      </c>
    </row>
    <row r="895" spans="1:8">
      <c r="A895" t="s">
        <v>56</v>
      </c>
      <c r="B895" t="s">
        <v>55</v>
      </c>
      <c r="C895">
        <v>1190</v>
      </c>
      <c r="D895">
        <v>22162</v>
      </c>
      <c r="E895">
        <v>66.900000000000006</v>
      </c>
      <c r="F895">
        <v>11.37</v>
      </c>
      <c r="G895" s="1">
        <v>78.27</v>
      </c>
      <c r="H895" s="154">
        <v>44624</v>
      </c>
    </row>
    <row r="896" spans="1:8">
      <c r="A896" t="s">
        <v>71</v>
      </c>
      <c r="B896" t="s">
        <v>70</v>
      </c>
      <c r="C896">
        <v>1191</v>
      </c>
      <c r="D896">
        <v>22163</v>
      </c>
      <c r="E896">
        <v>22.6</v>
      </c>
      <c r="F896">
        <v>3.84</v>
      </c>
      <c r="G896" s="1">
        <v>26.44</v>
      </c>
      <c r="H896" s="154">
        <v>44624</v>
      </c>
    </row>
    <row r="897" spans="1:8">
      <c r="A897" t="s">
        <v>40</v>
      </c>
      <c r="B897" t="s">
        <v>39</v>
      </c>
      <c r="C897">
        <v>1192</v>
      </c>
      <c r="D897">
        <v>22164</v>
      </c>
      <c r="E897">
        <v>22.08</v>
      </c>
      <c r="F897">
        <v>3.75</v>
      </c>
      <c r="G897" s="1">
        <v>25.83</v>
      </c>
      <c r="H897" s="154">
        <v>44624</v>
      </c>
    </row>
    <row r="898" spans="1:8">
      <c r="A898" t="s">
        <v>118</v>
      </c>
      <c r="B898" t="s">
        <v>117</v>
      </c>
      <c r="C898">
        <v>1193</v>
      </c>
      <c r="D898">
        <v>22165</v>
      </c>
      <c r="E898">
        <v>76.03</v>
      </c>
      <c r="F898">
        <v>12.93</v>
      </c>
      <c r="G898" s="1">
        <v>88.96</v>
      </c>
      <c r="H898" s="154">
        <v>44624</v>
      </c>
    </row>
    <row r="899" spans="1:8">
      <c r="A899" t="s">
        <v>76</v>
      </c>
      <c r="B899" t="s">
        <v>75</v>
      </c>
      <c r="C899">
        <v>1194</v>
      </c>
      <c r="D899">
        <v>22166</v>
      </c>
      <c r="E899">
        <v>52.62</v>
      </c>
      <c r="F899">
        <v>8.9499999999999993</v>
      </c>
      <c r="G899" s="1">
        <v>61.57</v>
      </c>
      <c r="H899" s="154">
        <v>44624</v>
      </c>
    </row>
    <row r="900" spans="1:8">
      <c r="A900" t="s">
        <v>93</v>
      </c>
      <c r="B900" t="s">
        <v>92</v>
      </c>
      <c r="C900">
        <v>1195</v>
      </c>
      <c r="D900">
        <v>22167</v>
      </c>
      <c r="E900">
        <v>35.880000000000003</v>
      </c>
      <c r="F900">
        <v>6.1</v>
      </c>
      <c r="G900" s="1">
        <v>41.98</v>
      </c>
      <c r="H900" s="154">
        <v>44624</v>
      </c>
    </row>
    <row r="901" spans="1:8">
      <c r="A901" t="s">
        <v>97</v>
      </c>
      <c r="B901" t="s">
        <v>96</v>
      </c>
      <c r="C901">
        <v>1196</v>
      </c>
      <c r="D901">
        <v>22168</v>
      </c>
      <c r="E901">
        <v>73.599999999999994</v>
      </c>
      <c r="F901">
        <v>12.51</v>
      </c>
      <c r="G901" s="1">
        <v>86.11</v>
      </c>
      <c r="H901" s="154">
        <v>44624</v>
      </c>
    </row>
    <row r="902" spans="1:8">
      <c r="A902" t="s">
        <v>103</v>
      </c>
      <c r="B902" t="s">
        <v>102</v>
      </c>
      <c r="C902">
        <v>1197</v>
      </c>
      <c r="D902">
        <v>22169</v>
      </c>
      <c r="E902">
        <v>24.29</v>
      </c>
      <c r="F902">
        <v>4.13</v>
      </c>
      <c r="G902" s="1">
        <v>28.42</v>
      </c>
      <c r="H902" s="154">
        <v>44624</v>
      </c>
    </row>
    <row r="903" spans="1:8">
      <c r="A903" t="s">
        <v>115</v>
      </c>
      <c r="B903" t="s">
        <v>114</v>
      </c>
      <c r="D903">
        <v>22170</v>
      </c>
      <c r="E903">
        <v>36.86</v>
      </c>
      <c r="F903">
        <v>6.27</v>
      </c>
      <c r="G903" s="1">
        <v>43.13</v>
      </c>
      <c r="H903" s="154">
        <v>44624</v>
      </c>
    </row>
    <row r="904" spans="1:8">
      <c r="A904" t="s">
        <v>9</v>
      </c>
      <c r="B904" t="s">
        <v>8</v>
      </c>
      <c r="D904">
        <v>22171</v>
      </c>
      <c r="E904">
        <v>268.49</v>
      </c>
      <c r="F904">
        <v>45.64</v>
      </c>
      <c r="G904" s="1">
        <v>314.13</v>
      </c>
      <c r="H904" s="154">
        <v>44629</v>
      </c>
    </row>
    <row r="905" spans="1:8">
      <c r="A905" t="s">
        <v>9</v>
      </c>
      <c r="B905" t="s">
        <v>15</v>
      </c>
      <c r="D905">
        <v>22172</v>
      </c>
      <c r="E905">
        <v>41.06</v>
      </c>
      <c r="F905">
        <v>6.98</v>
      </c>
      <c r="G905" s="1">
        <v>48.04</v>
      </c>
      <c r="H905" s="154">
        <v>44629</v>
      </c>
    </row>
    <row r="906" spans="1:8">
      <c r="A906" t="s">
        <v>17</v>
      </c>
      <c r="B906" t="s">
        <v>16</v>
      </c>
      <c r="D906">
        <v>22173</v>
      </c>
      <c r="E906">
        <v>92.61</v>
      </c>
      <c r="F906">
        <v>15.74</v>
      </c>
      <c r="G906" s="1">
        <v>108.35</v>
      </c>
      <c r="H906" s="154">
        <v>44629</v>
      </c>
    </row>
    <row r="907" spans="1:8">
      <c r="A907" t="s">
        <v>17</v>
      </c>
      <c r="B907" t="s">
        <v>20</v>
      </c>
      <c r="D907">
        <v>22174</v>
      </c>
      <c r="E907">
        <v>46.56</v>
      </c>
      <c r="F907">
        <v>7.92</v>
      </c>
      <c r="G907" s="1">
        <v>54.48</v>
      </c>
      <c r="H907" s="154">
        <v>44629</v>
      </c>
    </row>
    <row r="908" spans="1:8">
      <c r="A908" t="s">
        <v>56</v>
      </c>
      <c r="B908" t="s">
        <v>55</v>
      </c>
      <c r="D908">
        <v>22175</v>
      </c>
      <c r="E908">
        <v>77.510000000000005</v>
      </c>
      <c r="F908">
        <v>13.18</v>
      </c>
      <c r="G908" s="1">
        <v>90.69</v>
      </c>
      <c r="H908" s="154">
        <v>44629</v>
      </c>
    </row>
    <row r="909" spans="1:8">
      <c r="A909" t="s">
        <v>17</v>
      </c>
      <c r="B909" t="s">
        <v>79</v>
      </c>
      <c r="D909">
        <v>22176</v>
      </c>
      <c r="E909">
        <v>106.87</v>
      </c>
      <c r="F909">
        <v>18.170000000000002</v>
      </c>
      <c r="G909" s="1">
        <v>125.04</v>
      </c>
      <c r="H909" s="154">
        <v>44629</v>
      </c>
    </row>
    <row r="910" spans="1:8">
      <c r="A910" t="s">
        <v>56</v>
      </c>
      <c r="B910" t="s">
        <v>55</v>
      </c>
      <c r="D910">
        <v>22177</v>
      </c>
      <c r="E910">
        <v>47.57</v>
      </c>
      <c r="F910">
        <v>8.09</v>
      </c>
      <c r="G910" s="1">
        <v>55.66</v>
      </c>
      <c r="H910" s="154">
        <v>44629</v>
      </c>
    </row>
    <row r="911" spans="1:8">
      <c r="A911" t="s">
        <v>71</v>
      </c>
      <c r="B911" t="s">
        <v>70</v>
      </c>
      <c r="D911">
        <v>22178</v>
      </c>
      <c r="E911">
        <v>22.6</v>
      </c>
      <c r="F911">
        <v>3.84</v>
      </c>
      <c r="G911" s="1">
        <v>26.44</v>
      </c>
      <c r="H911" s="154">
        <v>44629</v>
      </c>
    </row>
    <row r="912" spans="1:8">
      <c r="A912" t="s">
        <v>40</v>
      </c>
      <c r="B912" t="s">
        <v>39</v>
      </c>
      <c r="D912">
        <v>22179</v>
      </c>
      <c r="E912">
        <v>22.08</v>
      </c>
      <c r="F912">
        <v>3.75</v>
      </c>
      <c r="G912" s="1">
        <v>25.83</v>
      </c>
      <c r="H912" s="154">
        <v>44629</v>
      </c>
    </row>
    <row r="913" spans="1:8">
      <c r="A913" t="s">
        <v>118</v>
      </c>
      <c r="B913" t="s">
        <v>117</v>
      </c>
      <c r="D913">
        <v>22180</v>
      </c>
      <c r="E913">
        <v>76.03</v>
      </c>
      <c r="F913">
        <v>12.93</v>
      </c>
      <c r="G913" s="1">
        <v>88.96</v>
      </c>
      <c r="H913" s="154">
        <v>44629</v>
      </c>
    </row>
    <row r="914" spans="1:8">
      <c r="A914" t="s">
        <v>76</v>
      </c>
      <c r="B914" t="s">
        <v>75</v>
      </c>
      <c r="D914">
        <v>22181</v>
      </c>
      <c r="E914">
        <v>52.62</v>
      </c>
      <c r="F914">
        <v>8.9499999999999993</v>
      </c>
      <c r="G914" s="1">
        <v>61.57</v>
      </c>
      <c r="H914" s="154">
        <v>44629</v>
      </c>
    </row>
    <row r="915" spans="1:8">
      <c r="A915" t="s">
        <v>93</v>
      </c>
      <c r="B915" t="s">
        <v>92</v>
      </c>
      <c r="D915">
        <v>22182</v>
      </c>
      <c r="E915">
        <v>35.880000000000003</v>
      </c>
      <c r="F915">
        <v>6.1</v>
      </c>
      <c r="G915" s="1">
        <v>41.98</v>
      </c>
      <c r="H915" s="154">
        <v>44629</v>
      </c>
    </row>
    <row r="916" spans="1:8">
      <c r="A916" t="s">
        <v>97</v>
      </c>
      <c r="B916" t="s">
        <v>96</v>
      </c>
      <c r="D916">
        <v>22183</v>
      </c>
      <c r="E916">
        <v>73.599999999999994</v>
      </c>
      <c r="F916">
        <v>12.51</v>
      </c>
      <c r="G916" s="1">
        <v>86.11</v>
      </c>
      <c r="H916" s="154">
        <v>44629</v>
      </c>
    </row>
    <row r="917" spans="1:8">
      <c r="A917" t="s">
        <v>103</v>
      </c>
      <c r="B917" t="s">
        <v>102</v>
      </c>
      <c r="C917">
        <v>1197</v>
      </c>
      <c r="D917">
        <v>22184</v>
      </c>
      <c r="E917">
        <v>24.29</v>
      </c>
      <c r="F917">
        <v>4.13</v>
      </c>
      <c r="G917" s="1">
        <v>28.42</v>
      </c>
      <c r="H917" s="154">
        <v>44629</v>
      </c>
    </row>
    <row r="918" spans="1:8">
      <c r="A918" t="s">
        <v>99</v>
      </c>
      <c r="B918" t="s">
        <v>98</v>
      </c>
      <c r="C918">
        <v>1198</v>
      </c>
      <c r="D918">
        <v>22185</v>
      </c>
      <c r="E918">
        <v>458</v>
      </c>
      <c r="F918">
        <v>77.86</v>
      </c>
      <c r="G918" s="1">
        <v>535.86</v>
      </c>
      <c r="H918" s="154">
        <v>44630</v>
      </c>
    </row>
  </sheetData>
  <sheetProtection insertColumns="0" insertRows="0"/>
  <autoFilter ref="A1:A416" xr:uid="{4EBA0F5B-1914-4062-80E3-8484197146FD}"/>
  <pageMargins left="0.7" right="0.7" top="0.75" bottom="0.75" header="0.3" footer="0.3"/>
  <pageSetup paperSize="9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6DFE-DE20-49D4-AFF2-8D5FC051D848}">
  <sheetPr codeName="Sheet6"/>
  <dimension ref="A1:L43"/>
  <sheetViews>
    <sheetView zoomScaleNormal="100" workbookViewId="0">
      <selection activeCell="O9" sqref="O9"/>
    </sheetView>
  </sheetViews>
  <sheetFormatPr defaultColWidth="8.85546875" defaultRowHeight="14.45"/>
  <cols>
    <col min="1" max="1" width="3.28515625" style="9" customWidth="1"/>
    <col min="2" max="2" width="14.28515625" style="10" customWidth="1"/>
    <col min="3" max="3" width="15.5703125" style="10" customWidth="1"/>
    <col min="4" max="4" width="5.140625" style="10" bestFit="1" customWidth="1"/>
    <col min="5" max="5" width="5.140625" style="10" customWidth="1"/>
    <col min="6" max="6" width="5" style="10" customWidth="1"/>
    <col min="7" max="7" width="8.7109375" style="10" customWidth="1"/>
    <col min="8" max="8" width="3.7109375" style="10" customWidth="1"/>
    <col min="9" max="9" width="5" style="29" customWidth="1"/>
    <col min="10" max="10" width="8.28515625" style="10" customWidth="1"/>
    <col min="11" max="11" width="10.28515625" style="10" customWidth="1"/>
    <col min="12" max="12" width="3.42578125" style="10" customWidth="1"/>
  </cols>
  <sheetData>
    <row r="1" spans="1:12">
      <c r="G1" s="82" t="s">
        <v>278</v>
      </c>
      <c r="H1" s="82"/>
      <c r="I1" s="11"/>
      <c r="J1" s="194">
        <f>'Za KIF-a'!E2</f>
        <v>22186</v>
      </c>
      <c r="K1" s="194"/>
    </row>
    <row r="2" spans="1:12">
      <c r="G2" s="81" t="s">
        <v>279</v>
      </c>
      <c r="H2" s="81"/>
      <c r="I2" s="11"/>
      <c r="J2" s="194">
        <f>'Za KIF-a'!D2</f>
        <v>1199</v>
      </c>
      <c r="K2" s="194"/>
    </row>
    <row r="3" spans="1:12">
      <c r="G3" s="81" t="s">
        <v>212</v>
      </c>
      <c r="H3" s="81"/>
      <c r="I3" s="13"/>
      <c r="J3" s="195">
        <f ca="1">'Za KIF-a'!L1</f>
        <v>44635</v>
      </c>
      <c r="K3" s="195"/>
    </row>
    <row r="4" spans="1:12">
      <c r="G4" s="81" t="s">
        <v>214</v>
      </c>
      <c r="H4" s="81"/>
      <c r="I4" s="13"/>
      <c r="J4" s="195">
        <f ca="1">'Za KIF-a'!L2</f>
        <v>44636</v>
      </c>
      <c r="K4" s="195"/>
    </row>
    <row r="5" spans="1:12">
      <c r="G5" s="81" t="s">
        <v>280</v>
      </c>
      <c r="H5" s="81"/>
      <c r="I5" s="13"/>
      <c r="J5" s="14" t="str">
        <f>VLOOKUP($C$12,kupci!$A:$J,7,FALSE)</f>
        <v>30 dana</v>
      </c>
      <c r="K5" s="14"/>
    </row>
    <row r="6" spans="1:12">
      <c r="B6" s="15" t="s">
        <v>281</v>
      </c>
      <c r="C6" s="16"/>
      <c r="D6" s="15"/>
      <c r="E6" s="16"/>
      <c r="F6" s="16" t="s">
        <v>282</v>
      </c>
      <c r="G6" s="16"/>
      <c r="H6" s="16"/>
      <c r="I6" s="16"/>
      <c r="J6" s="17"/>
      <c r="K6" s="16"/>
    </row>
    <row r="7" spans="1:12">
      <c r="B7" s="15" t="s">
        <v>283</v>
      </c>
      <c r="C7" s="16"/>
      <c r="D7" s="15"/>
      <c r="E7" s="16"/>
      <c r="F7" s="16" t="s">
        <v>284</v>
      </c>
      <c r="G7" s="16"/>
      <c r="H7" s="16"/>
      <c r="I7" s="16"/>
      <c r="J7" s="17"/>
      <c r="K7" s="16"/>
    </row>
    <row r="8" spans="1:12">
      <c r="B8" s="15" t="s">
        <v>14</v>
      </c>
      <c r="C8" s="16"/>
      <c r="D8" s="15"/>
      <c r="E8" s="16"/>
      <c r="F8" s="15" t="s">
        <v>285</v>
      </c>
      <c r="G8" s="16"/>
      <c r="H8" s="16"/>
      <c r="I8" s="16"/>
      <c r="J8" s="17"/>
      <c r="K8" s="16"/>
    </row>
    <row r="9" spans="1:12">
      <c r="B9" s="18" t="s">
        <v>286</v>
      </c>
      <c r="C9" s="19"/>
      <c r="D9" s="18"/>
      <c r="E9" s="19"/>
      <c r="F9" s="20" t="s">
        <v>287</v>
      </c>
      <c r="G9" s="19"/>
      <c r="H9" s="19"/>
      <c r="I9" s="19"/>
      <c r="J9" s="21"/>
      <c r="K9" s="19"/>
    </row>
    <row r="10" spans="1:12">
      <c r="B10" s="22" t="s">
        <v>288</v>
      </c>
      <c r="C10" s="28" t="str">
        <f>VLOOKUP($C$12,kupci!$A:$J,2,FALSE)</f>
        <v>"Mercator BH" Trgovina na veliko i malo d.o.o. Sarajevo</v>
      </c>
      <c r="D10" s="24"/>
      <c r="E10" s="24"/>
      <c r="F10" s="23"/>
      <c r="G10" s="25"/>
      <c r="H10" s="25"/>
      <c r="I10" s="26"/>
      <c r="J10" s="25"/>
      <c r="K10" s="25"/>
    </row>
    <row r="11" spans="1:12">
      <c r="B11" s="27" t="s">
        <v>289</v>
      </c>
      <c r="C11" s="28" t="str">
        <f>VLOOKUP($C$12,kupci!$A:$J,3,FALSE)</f>
        <v>Sarajevo, 71000</v>
      </c>
      <c r="D11" s="28"/>
      <c r="E11" s="28"/>
      <c r="F11" s="28"/>
      <c r="H11" s="200" t="str">
        <f>IF(J11="*", "",  "PDV broj")</f>
        <v>PDV broj</v>
      </c>
      <c r="I11" s="200"/>
      <c r="J11" s="198" t="str">
        <f>VLOOKUP($C$12,kupci!$A:$J,4,FALSE)</f>
        <v>200841110009</v>
      </c>
      <c r="K11" s="198"/>
    </row>
    <row r="12" spans="1:12">
      <c r="B12" s="27" t="s">
        <v>290</v>
      </c>
      <c r="C12" s="23" t="str">
        <f>'Za fakturisanje'!F2</f>
        <v>Ul. Ložionička 16, podr. 47 - prod 67</v>
      </c>
      <c r="D12" s="28"/>
      <c r="E12" s="28"/>
      <c r="F12" s="28"/>
      <c r="H12" s="201" t="str">
        <f>IF(J12="*", "",  "ID broj")</f>
        <v>ID broj</v>
      </c>
      <c r="I12" s="201"/>
      <c r="J12" s="199" t="str">
        <f>VLOOKUP($C$12,kupci!$A:$J,5,FALSE)</f>
        <v>4200841110009</v>
      </c>
      <c r="K12" s="199"/>
    </row>
    <row r="13" spans="1:12">
      <c r="C13" s="9"/>
      <c r="D13" s="9"/>
      <c r="K13" s="10" t="s">
        <v>291</v>
      </c>
    </row>
    <row r="14" spans="1:12" s="35" customFormat="1" ht="39.6" customHeight="1">
      <c r="A14" s="54" t="s">
        <v>292</v>
      </c>
      <c r="B14" s="202" t="s">
        <v>293</v>
      </c>
      <c r="C14" s="203"/>
      <c r="D14" s="30" t="s">
        <v>294</v>
      </c>
      <c r="E14" s="55" t="s">
        <v>295</v>
      </c>
      <c r="F14" s="30" t="s">
        <v>296</v>
      </c>
      <c r="G14" s="30" t="s">
        <v>297</v>
      </c>
      <c r="H14" s="61" t="s">
        <v>298</v>
      </c>
      <c r="I14" s="30" t="s">
        <v>299</v>
      </c>
      <c r="J14" s="30" t="s">
        <v>300</v>
      </c>
      <c r="K14" s="30" t="s">
        <v>301</v>
      </c>
      <c r="L14" s="56"/>
    </row>
    <row r="15" spans="1:12">
      <c r="A15" s="31" t="str">
        <f>IF(B15="","","1")</f>
        <v/>
      </c>
      <c r="B15" s="79" t="str">
        <f t="array" ref="B15">IFERROR(INDEX('Za fakturisanje'!$B$1:$B$50,SMALL(IF(ISNUMBER('Za fakturisanje'!$F$1:$F$50),ROW('Za fakturisanje'!$F$1:$F$50)),ROW(E1))),"")</f>
        <v/>
      </c>
      <c r="C15" s="46"/>
      <c r="D15" s="41" t="str">
        <f t="array" ref="D15">IFERROR(INDEX('Za fakturisanje'!$C$1:$C$50,SMALL(IF(ISNUMBER('Za fakturisanje'!$F$1:$F$50),ROW('Za fakturisanje'!$F$1:$F$50)),ROW(E1))),"")</f>
        <v/>
      </c>
      <c r="E15" s="31" t="str">
        <f t="array" ref="E15">IFERROR(INDEX('Za fakturisanje'!$F$1:$F$50,SMALL(IF(ISNUMBER('Za fakturisanje'!$F$1:$F$50),ROW('Za fakturisanje'!$F$1:$F$50)),ROW(E1))),"")</f>
        <v/>
      </c>
      <c r="F15" s="41" t="str">
        <f t="array" ref="F15">IFERROR(INDEX('Za fakturisanje'!$E$1:$E$50,SMALL(IF(ISNUMBER('Za fakturisanje'!$F$1:$F$50),ROW('Za fakturisanje'!$F$1:$F$50)),ROW(E1))),"")</f>
        <v/>
      </c>
      <c r="G15" s="33" t="str">
        <f>IF(E15="", "",+E15*F15)</f>
        <v/>
      </c>
      <c r="H15" s="31" t="str">
        <f>IF(B15="","",VLOOKUP($C$12,kupci!$A:$J,6,FALSE))</f>
        <v/>
      </c>
      <c r="I15" s="41" t="str">
        <f>IF(B15="","",G15*H15/100)</f>
        <v/>
      </c>
      <c r="J15" s="33" t="str">
        <f>IF(B15="", "",+G15-I15)</f>
        <v/>
      </c>
      <c r="K15" s="33" t="str">
        <f>IF(B15="", "",+J15*1.17)</f>
        <v/>
      </c>
    </row>
    <row r="16" spans="1:12">
      <c r="A16" s="31" t="str">
        <f>IF(B16="","","2")</f>
        <v/>
      </c>
      <c r="B16" s="79" t="str">
        <f t="array" ref="B16">IFERROR(INDEX('Za fakturisanje'!$B$1:$B$50,SMALL(IF(ISNUMBER('Za fakturisanje'!$F$1:$F$50),ROW('Za fakturisanje'!$F$1:$F$50)),ROW(E2))),"")</f>
        <v/>
      </c>
      <c r="C16" s="46"/>
      <c r="D16" s="41" t="str">
        <f t="array" ref="D16">IFERROR(INDEX('Za fakturisanje'!$C$1:$C$50,SMALL(IF(ISNUMBER('Za fakturisanje'!$F$1:$F$50),ROW('Za fakturisanje'!$F$1:$F$50)),ROW(E2))),"")</f>
        <v/>
      </c>
      <c r="E16" s="31" t="str">
        <f t="array" ref="E16">IFERROR(INDEX('Za fakturisanje'!$F$1:$F$50,SMALL(IF(ISNUMBER('Za fakturisanje'!$F$1:$F$50),ROW('Za fakturisanje'!$F$1:$F$50)),ROW(E2))),"")</f>
        <v/>
      </c>
      <c r="F16" s="41" t="str">
        <f t="array" ref="F16">IFERROR(INDEX('Za fakturisanje'!$E$1:$E$50,SMALL(IF(ISNUMBER('Za fakturisanje'!$F$1:$F$50),ROW('Za fakturisanje'!$F$1:$F$50)),ROW(E2))),"")</f>
        <v/>
      </c>
      <c r="G16" s="33" t="str">
        <f t="shared" ref="G16:G27" si="0">IF(E16="", "",+E16*F16)</f>
        <v/>
      </c>
      <c r="H16" s="31" t="str">
        <f>IF(B16="","",VLOOKUP($C$12,kupci!$A:$J,6,FALSE))</f>
        <v/>
      </c>
      <c r="I16" s="41" t="str">
        <f t="shared" ref="I16:I27" si="1">IF(B16="","",G16*H16/100)</f>
        <v/>
      </c>
      <c r="J16" s="33" t="str">
        <f t="shared" ref="J16:J27" si="2">IF(B16="", "",+G16-I16)</f>
        <v/>
      </c>
      <c r="K16" s="33" t="str">
        <f t="shared" ref="K16:K27" si="3">IF(B16="", "",+J16*1.17)</f>
        <v/>
      </c>
    </row>
    <row r="17" spans="1:12">
      <c r="A17" s="31" t="str">
        <f>IF(B17="","","3")</f>
        <v/>
      </c>
      <c r="B17" s="79" t="str">
        <f t="array" ref="B17">IFERROR(INDEX('Za fakturisanje'!$B$1:$B$50,SMALL(IF(ISNUMBER('Za fakturisanje'!$F$1:$F$50),ROW('Za fakturisanje'!$F$1:$F$50)),ROW(E3))),"")</f>
        <v/>
      </c>
      <c r="C17" s="46"/>
      <c r="D17" s="41" t="str">
        <f t="array" ref="D17">IFERROR(INDEX('Za fakturisanje'!$C$1:$C$50,SMALL(IF(ISNUMBER('Za fakturisanje'!$F$1:$F$50),ROW('Za fakturisanje'!$F$1:$F$50)),ROW(E3))),"")</f>
        <v/>
      </c>
      <c r="E17" s="31" t="str">
        <f t="array" ref="E17">IFERROR(INDEX('Za fakturisanje'!$F$1:$F$50,SMALL(IF(ISNUMBER('Za fakturisanje'!$F$1:$F$50),ROW('Za fakturisanje'!$F$1:$F$50)),ROW(E3))),"")</f>
        <v/>
      </c>
      <c r="F17" s="41" t="str">
        <f t="array" ref="F17">IFERROR(INDEX('Za fakturisanje'!$E$1:$E$50,SMALL(IF(ISNUMBER('Za fakturisanje'!$F$1:$F$50),ROW('Za fakturisanje'!$F$1:$F$50)),ROW(E3))),"")</f>
        <v/>
      </c>
      <c r="G17" s="33" t="str">
        <f t="shared" si="0"/>
        <v/>
      </c>
      <c r="H17" s="31" t="str">
        <f>IF(B17="","",VLOOKUP($C$12,kupci!$A:$J,6,FALSE))</f>
        <v/>
      </c>
      <c r="I17" s="41" t="str">
        <f t="shared" si="1"/>
        <v/>
      </c>
      <c r="J17" s="33" t="str">
        <f t="shared" si="2"/>
        <v/>
      </c>
      <c r="K17" s="33" t="str">
        <f t="shared" si="3"/>
        <v/>
      </c>
    </row>
    <row r="18" spans="1:12">
      <c r="A18" s="31" t="str">
        <f>IF(B18="","","4")</f>
        <v/>
      </c>
      <c r="B18" s="79" t="str">
        <f t="array" ref="B18">IFERROR(INDEX('Za fakturisanje'!$B$1:$B$50,SMALL(IF(ISNUMBER('Za fakturisanje'!$F$1:$F$50),ROW('Za fakturisanje'!$F$1:$F$50)),ROW(E4))),"")</f>
        <v/>
      </c>
      <c r="C18" s="46"/>
      <c r="D18" s="41" t="str">
        <f t="array" ref="D18">IFERROR(INDEX('Za fakturisanje'!$C$1:$C$50,SMALL(IF(ISNUMBER('Za fakturisanje'!$F$1:$F$50),ROW('Za fakturisanje'!$F$1:$F$50)),ROW(E4))),"")</f>
        <v/>
      </c>
      <c r="E18" s="31" t="str">
        <f t="array" ref="E18">IFERROR(INDEX('Za fakturisanje'!$F$1:$F$50,SMALL(IF(ISNUMBER('Za fakturisanje'!$F$1:$F$50),ROW('Za fakturisanje'!$F$1:$F$50)),ROW(E4))),"")</f>
        <v/>
      </c>
      <c r="F18" s="41" t="str">
        <f t="array" ref="F18">IFERROR(INDEX('Za fakturisanje'!$E$1:$E$50,SMALL(IF(ISNUMBER('Za fakturisanje'!$F$1:$F$50),ROW('Za fakturisanje'!$F$1:$F$50)),ROW(E4))),"")</f>
        <v/>
      </c>
      <c r="G18" s="33" t="str">
        <f t="shared" si="0"/>
        <v/>
      </c>
      <c r="H18" s="31" t="str">
        <f>IF(B18="","",VLOOKUP($C$12,kupci!$A:$J,6,FALSE))</f>
        <v/>
      </c>
      <c r="I18" s="41" t="str">
        <f t="shared" si="1"/>
        <v/>
      </c>
      <c r="J18" s="33" t="str">
        <f t="shared" si="2"/>
        <v/>
      </c>
      <c r="K18" s="33" t="str">
        <f t="shared" si="3"/>
        <v/>
      </c>
    </row>
    <row r="19" spans="1:12">
      <c r="A19" s="31" t="str">
        <f>IF(B19="","","5")</f>
        <v/>
      </c>
      <c r="B19" s="84" t="str">
        <f t="array" ref="B19">IFERROR(INDEX('Za fakturisanje'!$B$1:$B$50,SMALL(IF(ISNUMBER('Za fakturisanje'!$F$1:$F$50),ROW('Za fakturisanje'!$F$1:$F$50)),ROW(E5))),"")</f>
        <v/>
      </c>
      <c r="C19" s="53"/>
      <c r="D19" s="41" t="str">
        <f t="array" ref="D19">IFERROR(INDEX('Za fakturisanje'!$C$1:$C$50,SMALL(IF(ISNUMBER('Za fakturisanje'!$F$1:$F$50),ROW('Za fakturisanje'!$F$1:$F$50)),ROW(E5))),"")</f>
        <v/>
      </c>
      <c r="E19" s="31" t="str">
        <f t="array" ref="E19">IFERROR(INDEX('Za fakturisanje'!$F$1:$F$50,SMALL(IF(ISNUMBER('Za fakturisanje'!$F$1:$F$50),ROW('Za fakturisanje'!$F$1:$F$50)),ROW(E5))),"")</f>
        <v/>
      </c>
      <c r="F19" s="41" t="str">
        <f t="array" ref="F19">IFERROR(INDEX('Za fakturisanje'!$E$1:$E$50,SMALL(IF(ISNUMBER('Za fakturisanje'!$F$1:$F$50),ROW('Za fakturisanje'!$F$1:$F$50)),ROW(E5))),"")</f>
        <v/>
      </c>
      <c r="G19" s="33" t="str">
        <f t="shared" si="0"/>
        <v/>
      </c>
      <c r="H19" s="31" t="str">
        <f>IF(B19="","",VLOOKUP($C$12,kupci!$A:$J,6,FALSE))</f>
        <v/>
      </c>
      <c r="I19" s="41" t="str">
        <f t="shared" si="1"/>
        <v/>
      </c>
      <c r="J19" s="33" t="str">
        <f t="shared" si="2"/>
        <v/>
      </c>
      <c r="K19" s="33" t="str">
        <f t="shared" si="3"/>
        <v/>
      </c>
    </row>
    <row r="20" spans="1:12">
      <c r="A20" s="31" t="str">
        <f>IF(B20="","","6")</f>
        <v/>
      </c>
      <c r="B20" s="85" t="str">
        <f t="array" ref="B20">IFERROR(INDEX('Za fakturisanje'!$B$1:$B$50,SMALL(IF(ISNUMBER('Za fakturisanje'!$F$1:$F$50),ROW('Za fakturisanje'!$F$1:$F$50)),ROW(E6))),"")</f>
        <v/>
      </c>
      <c r="C20" s="48"/>
      <c r="D20" s="47" t="str">
        <f t="array" ref="D20">IFERROR(INDEX('Za fakturisanje'!$C$1:$C$50,SMALL(IF(ISNUMBER('Za fakturisanje'!$F$1:$F$50),ROW('Za fakturisanje'!$F$1:$F$50)),ROW(E6))),"")</f>
        <v/>
      </c>
      <c r="E20" s="31" t="str">
        <f t="array" ref="E20">IFERROR(INDEX('Za fakturisanje'!$F$1:$F$50,SMALL(IF(ISNUMBER('Za fakturisanje'!$F$1:$F$50),ROW('Za fakturisanje'!$F$1:$F$50)),ROW(E6))),"")</f>
        <v/>
      </c>
      <c r="F20" s="41" t="str">
        <f t="array" ref="F20">IFERROR(INDEX('Za fakturisanje'!$E$1:$E$50,SMALL(IF(ISNUMBER('Za fakturisanje'!$F$1:$F$50),ROW('Za fakturisanje'!$F$1:$F$50)),ROW(E6))),"")</f>
        <v/>
      </c>
      <c r="G20" s="33" t="str">
        <f t="shared" si="0"/>
        <v/>
      </c>
      <c r="H20" s="31" t="str">
        <f>IF(B20="","",VLOOKUP($C$12,kupci!$A:$J,6,FALSE))</f>
        <v/>
      </c>
      <c r="I20" s="41" t="str">
        <f t="shared" si="1"/>
        <v/>
      </c>
      <c r="J20" s="33" t="str">
        <f t="shared" si="2"/>
        <v/>
      </c>
      <c r="K20" s="33" t="str">
        <f t="shared" si="3"/>
        <v/>
      </c>
    </row>
    <row r="21" spans="1:12">
      <c r="A21" s="31" t="str">
        <f>IF(B21="","","7")</f>
        <v/>
      </c>
      <c r="B21" s="86" t="str">
        <f t="array" ref="B21">IFERROR(INDEX('Za fakturisanje'!$B$1:$B$50,SMALL(IF(ISNUMBER('Za fakturisanje'!$F$1:$F$50),ROW('Za fakturisanje'!$F$1:$F$50)),ROW(E7))),"")</f>
        <v/>
      </c>
      <c r="C21" s="49"/>
      <c r="D21" s="47" t="str">
        <f t="array" ref="D21">IFERROR(INDEX('Za fakturisanje'!$C$1:$C$50,SMALL(IF(ISNUMBER('Za fakturisanje'!$F$1:$F$50),ROW('Za fakturisanje'!$F$1:$F$50)),ROW(E7))),"")</f>
        <v/>
      </c>
      <c r="E21" s="31" t="str">
        <f t="array" ref="E21">IFERROR(INDEX('Za fakturisanje'!$F$1:$F$50,SMALL(IF(ISNUMBER('Za fakturisanje'!$F$1:$F$50),ROW('Za fakturisanje'!$F$1:$F$50)),ROW(E7))),"")</f>
        <v/>
      </c>
      <c r="F21" s="41" t="str">
        <f t="array" ref="F21">IFERROR(INDEX('Za fakturisanje'!$E$1:$E$50,SMALL(IF(ISNUMBER('Za fakturisanje'!$F$1:$F$50),ROW('Za fakturisanje'!$F$1:$F$50)),ROW(E7))),"")</f>
        <v/>
      </c>
      <c r="G21" s="33" t="str">
        <f t="shared" si="0"/>
        <v/>
      </c>
      <c r="H21" s="31" t="str">
        <f>IF(B21="","",VLOOKUP($C$12,kupci!$A:$J,6,FALSE))</f>
        <v/>
      </c>
      <c r="I21" s="41" t="str">
        <f t="shared" si="1"/>
        <v/>
      </c>
      <c r="J21" s="33" t="str">
        <f t="shared" si="2"/>
        <v/>
      </c>
      <c r="K21" s="33" t="str">
        <f t="shared" si="3"/>
        <v/>
      </c>
    </row>
    <row r="22" spans="1:12">
      <c r="A22" s="31" t="str">
        <f>IF(B22="","","8")</f>
        <v/>
      </c>
      <c r="B22" s="86" t="str">
        <f t="array" ref="B22">IFERROR(INDEX('Za fakturisanje'!$B$1:$B$50,SMALL(IF(ISNUMBER('Za fakturisanje'!$F$1:$F$50),ROW('Za fakturisanje'!$F$1:$F$50)),ROW(E8))),"")</f>
        <v/>
      </c>
      <c r="C22" s="49"/>
      <c r="D22" s="47" t="str">
        <f t="array" ref="D22">IFERROR(INDEX('Za fakturisanje'!$C$1:$C$50,SMALL(IF(ISNUMBER('Za fakturisanje'!$F$1:$F$50),ROW('Za fakturisanje'!$F$1:$F$50)),ROW(E8))),"")</f>
        <v/>
      </c>
      <c r="E22" s="31" t="str">
        <f t="array" ref="E22">IFERROR(INDEX('Za fakturisanje'!$F$1:$F$50,SMALL(IF(ISNUMBER('Za fakturisanje'!$F$1:$F$50),ROW('Za fakturisanje'!$F$1:$F$50)),ROW(E8))),"")</f>
        <v/>
      </c>
      <c r="F22" s="41" t="str">
        <f t="array" ref="F22">IFERROR(INDEX('Za fakturisanje'!$E$1:$E$50,SMALL(IF(ISNUMBER('Za fakturisanje'!$F$1:$F$50),ROW('Za fakturisanje'!$F$1:$F$50)),ROW(E8))),"")</f>
        <v/>
      </c>
      <c r="G22" s="33" t="str">
        <f t="shared" si="0"/>
        <v/>
      </c>
      <c r="H22" s="31" t="str">
        <f>IF(B22="","",VLOOKUP($C$12,kupci!$A:$J,6,FALSE))</f>
        <v/>
      </c>
      <c r="I22" s="41" t="str">
        <f t="shared" si="1"/>
        <v/>
      </c>
      <c r="J22" s="33" t="str">
        <f t="shared" si="2"/>
        <v/>
      </c>
      <c r="K22" s="33" t="str">
        <f t="shared" si="3"/>
        <v/>
      </c>
    </row>
    <row r="23" spans="1:12">
      <c r="A23" s="31" t="str">
        <f>IF(B23="","","9")</f>
        <v/>
      </c>
      <c r="B23" s="86" t="str">
        <f t="array" ref="B23">IFERROR(INDEX('Za fakturisanje'!$B$1:$B$50,SMALL(IF(ISNUMBER('Za fakturisanje'!$F$1:$F$50),ROW('Za fakturisanje'!$F$1:$F$50)),ROW(E9))),"")</f>
        <v/>
      </c>
      <c r="C23" s="51"/>
      <c r="D23" s="47" t="str">
        <f t="array" ref="D23">IFERROR(INDEX('Za fakturisanje'!$C$1:$C$50,SMALL(IF(ISNUMBER('Za fakturisanje'!$F$1:$F$50),ROW('Za fakturisanje'!$F$1:$F$50)),ROW(E9))),"")</f>
        <v/>
      </c>
      <c r="E23" s="31" t="str">
        <f t="array" ref="E23">IFERROR(INDEX('Za fakturisanje'!$F$1:$F$50,SMALL(IF(ISNUMBER('Za fakturisanje'!$F$1:$F$50),ROW('Za fakturisanje'!$F$1:$F$50)),ROW(E9))),"")</f>
        <v/>
      </c>
      <c r="F23" s="41" t="str">
        <f t="array" ref="F23">IFERROR(INDEX('Za fakturisanje'!$E$1:$E$50,SMALL(IF(ISNUMBER('Za fakturisanje'!$F$1:$F$50),ROW('Za fakturisanje'!$F$1:$F$50)),ROW(E9))),"")</f>
        <v/>
      </c>
      <c r="G23" s="33" t="str">
        <f t="shared" si="0"/>
        <v/>
      </c>
      <c r="H23" s="31" t="str">
        <f>IF(B23="","",VLOOKUP($C$12,kupci!$A:$J,6,FALSE))</f>
        <v/>
      </c>
      <c r="I23" s="41" t="str">
        <f t="shared" si="1"/>
        <v/>
      </c>
      <c r="J23" s="33" t="str">
        <f t="shared" si="2"/>
        <v/>
      </c>
      <c r="K23" s="33" t="str">
        <f t="shared" si="3"/>
        <v/>
      </c>
    </row>
    <row r="24" spans="1:12">
      <c r="A24" s="31" t="str">
        <f>IF(B24="","","10")</f>
        <v/>
      </c>
      <c r="B24" s="86" t="str">
        <f t="array" ref="B24">IFERROR(INDEX('Za fakturisanje'!$B$1:$B$50,SMALL(IF(ISNUMBER('Za fakturisanje'!$F$1:$F$50),ROW('Za fakturisanje'!$F$1:$F$50)),ROW(E10))),"")</f>
        <v/>
      </c>
      <c r="C24" s="52"/>
      <c r="D24" s="47" t="str">
        <f t="array" ref="D24">IFERROR(INDEX('Za fakturisanje'!$C$1:$C$50,SMALL(IF(ISNUMBER('Za fakturisanje'!$F$1:$F$50),ROW('Za fakturisanje'!$F$1:$F$50)),ROW(E10))),"")</f>
        <v/>
      </c>
      <c r="E24" s="31" t="str">
        <f t="array" ref="E24">IFERROR(INDEX('Za fakturisanje'!$F$1:$F$50,SMALL(IF(ISNUMBER('Za fakturisanje'!$F$1:$F$50),ROW('Za fakturisanje'!$F$1:$F$50)),ROW(E10))),"")</f>
        <v/>
      </c>
      <c r="F24" s="41" t="str">
        <f t="array" ref="F24">IFERROR(INDEX('Za fakturisanje'!$E$1:$E$50,SMALL(IF(ISNUMBER('Za fakturisanje'!$F$1:$F$50),ROW('Za fakturisanje'!$F$1:$F$50)),ROW(E10))),"")</f>
        <v/>
      </c>
      <c r="G24" s="33" t="str">
        <f t="shared" si="0"/>
        <v/>
      </c>
      <c r="H24" s="31" t="str">
        <f>IF(B24="","",VLOOKUP($C$12,kupci!$A:$J,6,FALSE))</f>
        <v/>
      </c>
      <c r="I24" s="41" t="str">
        <f t="shared" si="1"/>
        <v/>
      </c>
      <c r="J24" s="33" t="str">
        <f t="shared" si="2"/>
        <v/>
      </c>
      <c r="K24" s="33" t="str">
        <f t="shared" si="3"/>
        <v/>
      </c>
    </row>
    <row r="25" spans="1:12">
      <c r="A25" s="31" t="str">
        <f>IF(B25="","","11")</f>
        <v/>
      </c>
      <c r="B25" s="86" t="str">
        <f t="array" ref="B25">IFERROR(INDEX('Za fakturisanje'!$B$1:$B$50,SMALL(IF(ISNUMBER('Za fakturisanje'!$F$1:$F$50),ROW('Za fakturisanje'!$F$1:$F$50)),ROW(E11))),"")</f>
        <v/>
      </c>
      <c r="C25" s="48"/>
      <c r="D25" s="47" t="str">
        <f t="array" ref="D25">IFERROR(INDEX('Za fakturisanje'!$C$1:$C$50,SMALL(IF(ISNUMBER('Za fakturisanje'!$F$1:$F$50),ROW('Za fakturisanje'!$F$1:$F$50)),ROW(E11))),"")</f>
        <v/>
      </c>
      <c r="E25" s="31" t="str">
        <f t="array" ref="E25">IFERROR(INDEX('Za fakturisanje'!$F$1:$F$50,SMALL(IF(ISNUMBER('Za fakturisanje'!$F$1:$F$50),ROW('Za fakturisanje'!$F$1:$F$50)),ROW(E11))),"")</f>
        <v/>
      </c>
      <c r="F25" s="41" t="str">
        <f t="array" ref="F25">IFERROR(INDEX('Za fakturisanje'!$E$1:$E$50,SMALL(IF(ISNUMBER('Za fakturisanje'!$F$1:$F$50),ROW('Za fakturisanje'!$F$1:$F$50)),ROW(E11))),"")</f>
        <v/>
      </c>
      <c r="G25" s="33" t="str">
        <f t="shared" si="0"/>
        <v/>
      </c>
      <c r="H25" s="31" t="str">
        <f>IF(B25="","",VLOOKUP($C$12,kupci!$A:$J,6,FALSE))</f>
        <v/>
      </c>
      <c r="I25" s="41" t="str">
        <f t="shared" si="1"/>
        <v/>
      </c>
      <c r="J25" s="33" t="str">
        <f t="shared" si="2"/>
        <v/>
      </c>
      <c r="K25" s="33" t="str">
        <f t="shared" si="3"/>
        <v/>
      </c>
    </row>
    <row r="26" spans="1:12">
      <c r="A26" s="31" t="str">
        <f>IF(B26="","","12")</f>
        <v/>
      </c>
      <c r="B26" s="86" t="str">
        <f t="array" ref="B26">IFERROR(INDEX('Za fakturisanje'!$B$1:$B$50,SMALL(IF(ISNUMBER('Za fakturisanje'!$F$1:$F$50),ROW('Za fakturisanje'!$F$1:$F$50)),ROW(E12))),"")</f>
        <v/>
      </c>
      <c r="C26" s="49"/>
      <c r="D26" s="47" t="str">
        <f t="array" ref="D26">IFERROR(INDEX('Za fakturisanje'!$C$1:$C$50,SMALL(IF(ISNUMBER('Za fakturisanje'!$F$1:$F$50),ROW('Za fakturisanje'!$F$1:$F$50)),ROW(E12))),"")</f>
        <v/>
      </c>
      <c r="E26" s="31" t="str">
        <f t="array" ref="E26">IFERROR(INDEX('Za fakturisanje'!$F$1:$F$50,SMALL(IF(ISNUMBER('Za fakturisanje'!$F$1:$F$50),ROW('Za fakturisanje'!$F$1:$F$50)),ROW(E12))),"")</f>
        <v/>
      </c>
      <c r="F26" s="41" t="str">
        <f t="array" ref="F26">IFERROR(INDEX('Za fakturisanje'!$E$1:$E$50,SMALL(IF(ISNUMBER('Za fakturisanje'!$F$1:$F$50),ROW('Za fakturisanje'!$F$1:$F$50)),ROW(E12))),"")</f>
        <v/>
      </c>
      <c r="G26" s="33" t="str">
        <f t="shared" si="0"/>
        <v/>
      </c>
      <c r="H26" s="31" t="str">
        <f>IF(B26="","",VLOOKUP($C$12,kupci!$A:$J,6,FALSE))</f>
        <v/>
      </c>
      <c r="I26" s="41" t="str">
        <f t="shared" si="1"/>
        <v/>
      </c>
      <c r="J26" s="33" t="str">
        <f t="shared" si="2"/>
        <v/>
      </c>
      <c r="K26" s="33" t="str">
        <f t="shared" si="3"/>
        <v/>
      </c>
    </row>
    <row r="27" spans="1:12">
      <c r="A27" s="31" t="str">
        <f>IF(B27="","","13")</f>
        <v/>
      </c>
      <c r="B27" s="87" t="str">
        <f t="array" ref="B27">IFERROR(INDEX('Za fakturisanje'!$B$1:$B$50,SMALL(IF(ISNUMBER('Za fakturisanje'!$F$1:$F$50),ROW('Za fakturisanje'!$F$1:$F$50)),ROW(E13))),"")</f>
        <v/>
      </c>
      <c r="C27" s="50"/>
      <c r="D27" s="47" t="str">
        <f t="array" ref="D27">IFERROR(INDEX('Za fakturisanje'!$C$1:$C$50,SMALL(IF(ISNUMBER('Za fakturisanje'!$F$1:$F$50),ROW('Za fakturisanje'!$F$1:$F$50)),ROW(E13))),"")</f>
        <v/>
      </c>
      <c r="E27" s="31" t="str">
        <f t="array" ref="E27">IFERROR(INDEX('Za fakturisanje'!$F$1:$F$50,SMALL(IF(ISNUMBER('Za fakturisanje'!$F$1:$F$50),ROW('Za fakturisanje'!$F$1:$F$50)),ROW(E13))),"")</f>
        <v/>
      </c>
      <c r="F27" s="41" t="str">
        <f t="array" ref="F27">IFERROR(INDEX('Za fakturisanje'!$E$1:$E$50,SMALL(IF(ISNUMBER('Za fakturisanje'!$F$1:$F$50),ROW('Za fakturisanje'!$F$1:$F$50)),ROW(E13))),"")</f>
        <v/>
      </c>
      <c r="G27" s="33" t="str">
        <f t="shared" si="0"/>
        <v/>
      </c>
      <c r="H27" s="31" t="str">
        <f>IF(B27="","",VLOOKUP($C$12,kupci!$A:$J,6,FALSE))</f>
        <v/>
      </c>
      <c r="I27" s="41" t="str">
        <f t="shared" si="1"/>
        <v/>
      </c>
      <c r="J27" s="33" t="str">
        <f t="shared" si="2"/>
        <v/>
      </c>
      <c r="K27" s="33" t="str">
        <f t="shared" si="3"/>
        <v/>
      </c>
    </row>
    <row r="28" spans="1:12">
      <c r="A28" s="31"/>
      <c r="B28" s="196"/>
      <c r="C28" s="197"/>
      <c r="D28" s="32"/>
      <c r="E28" s="36">
        <f>SUM(E15:E27)</f>
        <v>0</v>
      </c>
      <c r="F28" s="34"/>
      <c r="G28" s="33">
        <f>SUM(G15:G27)</f>
        <v>0</v>
      </c>
      <c r="H28" s="36"/>
      <c r="I28" s="34">
        <f>SUM(I15:I27)</f>
        <v>0</v>
      </c>
      <c r="J28" s="34">
        <f>+G28-I28</f>
        <v>0</v>
      </c>
      <c r="K28" s="34">
        <f>+J28*1.17</f>
        <v>0</v>
      </c>
    </row>
    <row r="29" spans="1:12">
      <c r="A29" s="37"/>
      <c r="B29" s="38"/>
      <c r="C29" s="38"/>
      <c r="D29" s="38"/>
      <c r="E29" s="38"/>
      <c r="F29" s="38"/>
      <c r="G29" s="38"/>
      <c r="H29" s="38"/>
      <c r="I29" s="38"/>
      <c r="J29" s="39"/>
      <c r="K29" s="39"/>
    </row>
    <row r="30" spans="1:12">
      <c r="A30" s="37"/>
      <c r="B30" s="38"/>
      <c r="C30" s="38"/>
      <c r="D30" s="38"/>
      <c r="E30" s="38"/>
      <c r="F30" s="38"/>
      <c r="G30" s="78" t="s">
        <v>302</v>
      </c>
      <c r="H30" s="32"/>
      <c r="I30" s="40"/>
      <c r="J30" s="70"/>
      <c r="K30" s="72">
        <f>TRUNC(ROUND(+G28*1,2),2)</f>
        <v>0</v>
      </c>
      <c r="L30" s="74" t="s">
        <v>303</v>
      </c>
    </row>
    <row r="31" spans="1:12">
      <c r="A31" s="37"/>
      <c r="B31" s="38"/>
      <c r="C31" s="38"/>
      <c r="D31" s="38"/>
      <c r="E31" s="38"/>
      <c r="F31" s="38"/>
      <c r="G31" s="79" t="s">
        <v>304</v>
      </c>
      <c r="H31" s="67"/>
      <c r="I31" s="68"/>
      <c r="J31" s="69"/>
      <c r="K31" s="69">
        <f>TRUNC(ROUND(+I28*1,2),2)</f>
        <v>0</v>
      </c>
      <c r="L31" s="75" t="s">
        <v>303</v>
      </c>
    </row>
    <row r="32" spans="1:12">
      <c r="A32" s="37"/>
      <c r="B32" s="38"/>
      <c r="C32" s="38"/>
      <c r="D32" s="38"/>
      <c r="E32" s="38"/>
      <c r="F32" s="38"/>
      <c r="G32" s="78" t="s">
        <v>305</v>
      </c>
      <c r="H32" s="32"/>
      <c r="I32" s="71"/>
      <c r="J32" s="72"/>
      <c r="K32" s="72">
        <f>TRUNC(ROUND(+J28*1,2),2)</f>
        <v>0</v>
      </c>
      <c r="L32" s="74" t="s">
        <v>303</v>
      </c>
    </row>
    <row r="33" spans="1:12">
      <c r="A33" s="37"/>
      <c r="B33" s="38"/>
      <c r="C33" s="38"/>
      <c r="D33" s="38"/>
      <c r="E33" s="38"/>
      <c r="F33" s="38"/>
      <c r="G33" s="79" t="s">
        <v>306</v>
      </c>
      <c r="H33" s="67"/>
      <c r="I33" s="68"/>
      <c r="J33" s="69"/>
      <c r="K33" s="69">
        <f>TRUNC(ROUND(K28-J28,2),2)</f>
        <v>0</v>
      </c>
      <c r="L33" s="75" t="s">
        <v>303</v>
      </c>
    </row>
    <row r="34" spans="1:12" ht="15.6">
      <c r="B34" s="38"/>
      <c r="C34" s="38"/>
      <c r="D34" s="38"/>
      <c r="E34" s="38"/>
      <c r="F34" s="38"/>
      <c r="G34" s="80" t="s">
        <v>307</v>
      </c>
      <c r="H34" s="42"/>
      <c r="I34" s="43"/>
      <c r="J34" s="73"/>
      <c r="K34" s="76">
        <f>TRUNC(ROUND(+K32+K33,2),2)</f>
        <v>0</v>
      </c>
      <c r="L34" s="77" t="s">
        <v>303</v>
      </c>
    </row>
    <row r="43" spans="1:12">
      <c r="B43" s="10" t="s">
        <v>308</v>
      </c>
      <c r="H43" s="10" t="s">
        <v>288</v>
      </c>
    </row>
  </sheetData>
  <sheetProtection sheet="1" objects="1" scenarios="1"/>
  <mergeCells count="10">
    <mergeCell ref="J1:K1"/>
    <mergeCell ref="J2:K2"/>
    <mergeCell ref="J3:K3"/>
    <mergeCell ref="B28:C28"/>
    <mergeCell ref="J11:K11"/>
    <mergeCell ref="J12:K12"/>
    <mergeCell ref="J4:K4"/>
    <mergeCell ref="H11:I11"/>
    <mergeCell ref="H12:I12"/>
    <mergeCell ref="B14:C14"/>
  </mergeCells>
  <pageMargins left="0.62992125984251968" right="0.23622047244094491" top="0.74803149606299213" bottom="0.74803149606299213" header="0.31496062992125984" footer="0.31496062992125984"/>
  <pageSetup paperSize="9" orientation="portrait" horizontalDpi="4294967293" vertic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78A7-CBA8-47C7-807A-F226FB7FFFC7}">
  <sheetPr codeName="Sheet7"/>
  <dimension ref="A1:L43"/>
  <sheetViews>
    <sheetView zoomScaleNormal="100" workbookViewId="0">
      <selection activeCell="J1" sqref="J1:K1"/>
    </sheetView>
  </sheetViews>
  <sheetFormatPr defaultColWidth="8.85546875" defaultRowHeight="14.45"/>
  <cols>
    <col min="1" max="1" width="3.28515625" style="9" customWidth="1"/>
    <col min="2" max="2" width="14.28515625" style="10" customWidth="1"/>
    <col min="3" max="3" width="15.5703125" style="10" customWidth="1"/>
    <col min="4" max="4" width="5.140625" style="10" bestFit="1" customWidth="1"/>
    <col min="5" max="5" width="5.140625" style="10" customWidth="1"/>
    <col min="6" max="6" width="5.5703125" style="10" customWidth="1"/>
    <col min="7" max="7" width="8" style="10" customWidth="1"/>
    <col min="8" max="8" width="3.7109375" style="10" customWidth="1"/>
    <col min="9" max="9" width="5.7109375" style="29" customWidth="1"/>
    <col min="10" max="10" width="7.42578125" style="10" customWidth="1"/>
    <col min="11" max="11" width="10.28515625" style="10" customWidth="1"/>
    <col min="12" max="12" width="3.42578125" style="10" customWidth="1"/>
  </cols>
  <sheetData>
    <row r="1" spans="1:12">
      <c r="G1" s="82" t="s">
        <v>278</v>
      </c>
      <c r="H1" s="82"/>
      <c r="I1" s="11"/>
      <c r="J1" s="204">
        <f>'Za KIF-a'!E3</f>
        <v>22187</v>
      </c>
      <c r="K1" s="204"/>
    </row>
    <row r="2" spans="1:12">
      <c r="G2" s="81" t="s">
        <v>279</v>
      </c>
      <c r="H2" s="81"/>
      <c r="I2" s="11"/>
      <c r="J2" s="194">
        <f>'Za KIF-a'!D3</f>
        <v>1200</v>
      </c>
      <c r="K2" s="194"/>
    </row>
    <row r="3" spans="1:12">
      <c r="G3" s="81" t="s">
        <v>212</v>
      </c>
      <c r="H3" s="81"/>
      <c r="I3" s="13"/>
      <c r="J3" s="195">
        <f ca="1">'Za KIF-a'!L1</f>
        <v>44635</v>
      </c>
      <c r="K3" s="195"/>
    </row>
    <row r="4" spans="1:12">
      <c r="G4" s="81" t="s">
        <v>214</v>
      </c>
      <c r="H4" s="81"/>
      <c r="I4" s="13"/>
      <c r="J4" s="195">
        <f ca="1">'Za KIF-a'!L2</f>
        <v>44636</v>
      </c>
      <c r="K4" s="195"/>
    </row>
    <row r="5" spans="1:12">
      <c r="G5" s="81" t="s">
        <v>280</v>
      </c>
      <c r="H5" s="81"/>
      <c r="I5" s="13"/>
      <c r="J5" s="14" t="str">
        <f>VLOOKUP($C$12,kupci!$A:$J,7,FALSE)</f>
        <v>30 dana</v>
      </c>
      <c r="K5" s="14"/>
    </row>
    <row r="6" spans="1:12">
      <c r="B6" s="15" t="s">
        <v>281</v>
      </c>
      <c r="C6" s="16"/>
      <c r="D6" s="15"/>
      <c r="E6" s="16"/>
      <c r="F6" s="16" t="s">
        <v>282</v>
      </c>
      <c r="G6" s="16"/>
      <c r="H6" s="16"/>
      <c r="I6" s="16"/>
      <c r="J6" s="17"/>
      <c r="K6" s="16"/>
    </row>
    <row r="7" spans="1:12">
      <c r="B7" s="15" t="s">
        <v>283</v>
      </c>
      <c r="C7" s="16"/>
      <c r="D7" s="15"/>
      <c r="E7" s="16"/>
      <c r="F7" s="16" t="s">
        <v>284</v>
      </c>
      <c r="G7" s="16"/>
      <c r="H7" s="16"/>
      <c r="I7" s="16"/>
      <c r="J7" s="17"/>
      <c r="K7" s="16"/>
    </row>
    <row r="8" spans="1:12">
      <c r="B8" s="15" t="s">
        <v>14</v>
      </c>
      <c r="C8" s="16"/>
      <c r="D8" s="15"/>
      <c r="E8" s="16"/>
      <c r="F8" s="15" t="s">
        <v>285</v>
      </c>
      <c r="G8" s="16"/>
      <c r="H8" s="16"/>
      <c r="I8" s="16"/>
      <c r="J8" s="17"/>
      <c r="K8" s="16"/>
    </row>
    <row r="9" spans="1:12">
      <c r="B9" s="18" t="s">
        <v>286</v>
      </c>
      <c r="C9" s="19"/>
      <c r="D9" s="18"/>
      <c r="E9" s="19"/>
      <c r="F9" s="20" t="s">
        <v>287</v>
      </c>
      <c r="G9" s="19"/>
      <c r="H9" s="19"/>
      <c r="I9" s="19"/>
      <c r="J9" s="21"/>
      <c r="K9" s="19"/>
    </row>
    <row r="10" spans="1:12">
      <c r="B10" s="22" t="s">
        <v>288</v>
      </c>
      <c r="C10" s="28" t="str">
        <f>VLOOKUP($C$12,kupci!$A:$J,2,FALSE)</f>
        <v>"Mercator BH" Trgovina na veliko i malo d.o.o. Sarajevo</v>
      </c>
      <c r="D10" s="24"/>
      <c r="E10" s="24"/>
      <c r="F10" s="23"/>
      <c r="G10" s="25"/>
      <c r="H10" s="25"/>
      <c r="I10" s="26"/>
      <c r="J10" s="25"/>
      <c r="K10" s="25"/>
    </row>
    <row r="11" spans="1:12">
      <c r="B11" s="27" t="s">
        <v>289</v>
      </c>
      <c r="C11" s="28" t="str">
        <f>VLOOKUP($C$12,kupci!$A:$J,3,FALSE)</f>
        <v>Sarajevo, 71000</v>
      </c>
      <c r="D11" s="28"/>
      <c r="E11" s="28"/>
      <c r="F11" s="28"/>
      <c r="H11" s="200" t="str">
        <f>IF(J11="*", "",  "PDV broj")</f>
        <v>PDV broj</v>
      </c>
      <c r="I11" s="200"/>
      <c r="J11" s="198" t="str">
        <f>VLOOKUP($C$12,kupci!$A:$J,4,FALSE)</f>
        <v>200841110009</v>
      </c>
      <c r="K11" s="198"/>
    </row>
    <row r="12" spans="1:12">
      <c r="B12" s="27" t="s">
        <v>290</v>
      </c>
      <c r="C12" s="23" t="str">
        <f>'Za fakturisanje'!G$2</f>
        <v>Bulevar Mimar Sinana 1, Dobrinja, podr. 49 -prod 69</v>
      </c>
      <c r="D12" s="28"/>
      <c r="E12" s="28"/>
      <c r="F12" s="28"/>
      <c r="H12" s="201" t="str">
        <f>IF(J12="*", "",  "ID broj")</f>
        <v>ID broj</v>
      </c>
      <c r="I12" s="201"/>
      <c r="J12" s="199" t="str">
        <f>VLOOKUP($C$12,kupci!$A:$J,5,FALSE)</f>
        <v>4200841110009</v>
      </c>
      <c r="K12" s="199"/>
    </row>
    <row r="13" spans="1:12">
      <c r="C13" s="9"/>
      <c r="D13" s="9"/>
      <c r="K13" s="10" t="s">
        <v>291</v>
      </c>
    </row>
    <row r="14" spans="1:12" s="35" customFormat="1" ht="39.6" customHeight="1">
      <c r="A14" s="54" t="s">
        <v>292</v>
      </c>
      <c r="B14" s="202" t="s">
        <v>293</v>
      </c>
      <c r="C14" s="203"/>
      <c r="D14" s="30" t="s">
        <v>294</v>
      </c>
      <c r="E14" s="55" t="s">
        <v>295</v>
      </c>
      <c r="F14" s="30" t="s">
        <v>296</v>
      </c>
      <c r="G14" s="30" t="s">
        <v>297</v>
      </c>
      <c r="H14" s="61" t="s">
        <v>298</v>
      </c>
      <c r="I14" s="30" t="s">
        <v>299</v>
      </c>
      <c r="J14" s="30" t="s">
        <v>300</v>
      </c>
      <c r="K14" s="30" t="s">
        <v>301</v>
      </c>
      <c r="L14" s="56"/>
    </row>
    <row r="15" spans="1:12">
      <c r="A15" s="31" t="str">
        <f>IF(B15="","","1")</f>
        <v>1</v>
      </c>
      <c r="B15" s="79" t="str">
        <f t="array" ref="B15">IFERROR(INDEX('Za fakturisanje'!$B$1:$B$50,SMALL(IF(ISNUMBER('Za fakturisanje'!$G$1:$G$50),ROW('Za fakturisanje'!$G$1:$G$50)),ROW(E1))),"")</f>
        <v>svježe klice Alfalfa        90218476</v>
      </c>
      <c r="C15" s="46"/>
      <c r="D15" s="41" t="str">
        <f t="array" ref="D15">IFERROR(INDEX('Za fakturisanje'!$C$1:$C$50,SMALL(IF(ISNUMBER('Za fakturisanje'!$G$1:$G$50),ROW('Za fakturisanje'!$G$1:$G$50)),ROW(E1))),"")</f>
        <v>kom</v>
      </c>
      <c r="E15" s="31">
        <f t="array" ref="E15">IFERROR(INDEX('Za fakturisanje'!$G$1:$G$50,SMALL(IF(ISNUMBER('Za fakturisanje'!$G$1:$G$50),ROW('Za fakturisanje'!$G$1:$G$50)),ROW(E1))),"")</f>
        <v>2</v>
      </c>
      <c r="F15" s="41">
        <f t="array" ref="F15">IFERROR(INDEX('Za fakturisanje'!$E$1:$E$50,SMALL(IF(ISNUMBER('Za fakturisanje'!$G$1:$G$50),ROW('Za fakturisanje'!$G$1:$G$50)),ROW(E1))),"")</f>
        <v>2.75</v>
      </c>
      <c r="G15" s="33">
        <f>IF(E15="", "",+E15*F15)</f>
        <v>5.5</v>
      </c>
      <c r="H15" s="31">
        <f>IF(B15="","",VLOOKUP($C$12,kupci!$A:$J,6,FALSE))</f>
        <v>0</v>
      </c>
      <c r="I15" s="41">
        <f>IF(B15="","",G15*H15/100)</f>
        <v>0</v>
      </c>
      <c r="J15" s="33">
        <f>IF(B15="", "",+G15-I15)</f>
        <v>5.5</v>
      </c>
      <c r="K15" s="33">
        <f>IF(B15="", "",+J15*1.17)</f>
        <v>6.4349999999999996</v>
      </c>
    </row>
    <row r="16" spans="1:12">
      <c r="A16" s="31" t="str">
        <f>IF(B16="","","2")</f>
        <v>2</v>
      </c>
      <c r="B16" s="79" t="str">
        <f t="array" ref="B16">IFERROR(INDEX('Za fakturisanje'!$B$1:$B$50,SMALL(IF(ISNUMBER('Za fakturisanje'!$G$1:$G$50),ROW('Za fakturisanje'!$G$1:$G$50)),ROW(E2))),"")</f>
        <v>svježe klice mix 1         90218479</v>
      </c>
      <c r="C16" s="46"/>
      <c r="D16" s="41" t="str">
        <f t="array" ref="D16">IFERROR(INDEX('Za fakturisanje'!$C$1:$C$50,SMALL(IF(ISNUMBER('Za fakturisanje'!$G$1:$G$50),ROW('Za fakturisanje'!$G$1:$G$50)),ROW(E2))),"")</f>
        <v>kom</v>
      </c>
      <c r="E16" s="31">
        <f t="array" ref="E16">IFERROR(INDEX('Za fakturisanje'!$G$1:$G$50,SMALL(IF(ISNUMBER('Za fakturisanje'!$G$1:$G$50),ROW('Za fakturisanje'!$G$1:$G$50)),ROW(E2))),"")</f>
        <v>1</v>
      </c>
      <c r="F16" s="41">
        <f t="array" ref="F16">IFERROR(INDEX('Za fakturisanje'!$E$1:$E$50,SMALL(IF(ISNUMBER('Za fakturisanje'!$G$1:$G$50),ROW('Za fakturisanje'!$G$1:$G$50)),ROW(E2))),"")</f>
        <v>2.75</v>
      </c>
      <c r="G16" s="33">
        <f t="shared" ref="G16:G27" si="0">IF(E16="", "",+E16*F16)</f>
        <v>2.75</v>
      </c>
      <c r="H16" s="31">
        <f>IF(B16="","",VLOOKUP($C$12,kupci!$A:$J,6,FALSE))</f>
        <v>0</v>
      </c>
      <c r="I16" s="41">
        <f t="shared" ref="I16:I27" si="1">IF(B16="","",G16*H16/100)</f>
        <v>0</v>
      </c>
      <c r="J16" s="33">
        <f t="shared" ref="J16:J27" si="2">IF(B16="", "",+G16-I16)</f>
        <v>2.75</v>
      </c>
      <c r="K16" s="33">
        <f t="shared" ref="K16:K27" si="3">IF(B16="", "",+J16*1.17)</f>
        <v>3.2174999999999998</v>
      </c>
    </row>
    <row r="17" spans="1:12" s="12" customFormat="1">
      <c r="A17" s="31" t="str">
        <f>IF(B17="","","3")</f>
        <v>3</v>
      </c>
      <c r="B17" s="79" t="str">
        <f t="array" ref="B17">IFERROR(INDEX('Za fakturisanje'!$B$1:$B$50,SMALL(IF(ISNUMBER('Za fakturisanje'!$G$1:$G$50),ROW('Za fakturisanje'!$G$1:$G$50)),ROW(E3))),"")</f>
        <v>svježe klice mix 2         90218481</v>
      </c>
      <c r="C17" s="46"/>
      <c r="D17" s="41" t="str">
        <f t="array" ref="D17">IFERROR(INDEX('Za fakturisanje'!$C$1:$C$50,SMALL(IF(ISNUMBER('Za fakturisanje'!$G$1:$G$50),ROW('Za fakturisanje'!$G$1:$G$50)),ROW(E3))),"")</f>
        <v>kom</v>
      </c>
      <c r="E17" s="31">
        <f t="array" ref="E17">IFERROR(INDEX('Za fakturisanje'!$G$1:$G$50,SMALL(IF(ISNUMBER('Za fakturisanje'!$G$1:$G$50),ROW('Za fakturisanje'!$G$1:$G$50)),ROW(E3))),"")</f>
        <v>2</v>
      </c>
      <c r="F17" s="41">
        <f t="array" ref="F17">IFERROR(INDEX('Za fakturisanje'!$E$1:$E$50,SMALL(IF(ISNUMBER('Za fakturisanje'!$G$1:$G$50),ROW('Za fakturisanje'!$G$1:$G$50)),ROW(E3))),"")</f>
        <v>2.75</v>
      </c>
      <c r="G17" s="33">
        <f t="shared" si="0"/>
        <v>5.5</v>
      </c>
      <c r="H17" s="31">
        <f>IF(B17="","",VLOOKUP($C$12,kupci!$A:$J,6,FALSE))</f>
        <v>0</v>
      </c>
      <c r="I17" s="41">
        <f t="shared" si="1"/>
        <v>0</v>
      </c>
      <c r="J17" s="33">
        <f t="shared" si="2"/>
        <v>5.5</v>
      </c>
      <c r="K17" s="33">
        <f t="shared" si="3"/>
        <v>6.4349999999999996</v>
      </c>
      <c r="L17" s="10"/>
    </row>
    <row r="18" spans="1:12" s="12" customFormat="1">
      <c r="A18" s="31" t="str">
        <f>IF(B18="","","4")</f>
        <v>4</v>
      </c>
      <c r="B18" s="79" t="str">
        <f t="array" ref="B18">IFERROR(INDEX('Za fakturisanje'!$B$1:$B$50,SMALL(IF(ISNUMBER('Za fakturisanje'!$G$1:$G$50),ROW('Za fakturisanje'!$G$1:$G$50)),ROW(E4))),"")</f>
        <v>svježe klice mix 3         90218485</v>
      </c>
      <c r="C18" s="46"/>
      <c r="D18" s="41" t="str">
        <f t="array" ref="D18">IFERROR(INDEX('Za fakturisanje'!$C$1:$C$50,SMALL(IF(ISNUMBER('Za fakturisanje'!$G$1:$G$50),ROW('Za fakturisanje'!$G$1:$G$50)),ROW(E4))),"")</f>
        <v>kom</v>
      </c>
      <c r="E18" s="31">
        <f t="array" ref="E18">IFERROR(INDEX('Za fakturisanje'!$G$1:$G$50,SMALL(IF(ISNUMBER('Za fakturisanje'!$G$1:$G$50),ROW('Za fakturisanje'!$G$1:$G$50)),ROW(E4))),"")</f>
        <v>1</v>
      </c>
      <c r="F18" s="41">
        <f t="array" ref="F18">IFERROR(INDEX('Za fakturisanje'!$E$1:$E$50,SMALL(IF(ISNUMBER('Za fakturisanje'!$G$1:$G$50),ROW('Za fakturisanje'!$G$1:$G$50)),ROW(E4))),"")</f>
        <v>2.75</v>
      </c>
      <c r="G18" s="33">
        <f t="shared" si="0"/>
        <v>2.75</v>
      </c>
      <c r="H18" s="31">
        <f>IF(B18="","",VLOOKUP($C$12,kupci!$A:$J,6,FALSE))</f>
        <v>0</v>
      </c>
      <c r="I18" s="41">
        <f t="shared" si="1"/>
        <v>0</v>
      </c>
      <c r="J18" s="33">
        <f t="shared" si="2"/>
        <v>2.75</v>
      </c>
      <c r="K18" s="33">
        <f t="shared" si="3"/>
        <v>3.2174999999999998</v>
      </c>
      <c r="L18" s="10"/>
    </row>
    <row r="19" spans="1:12" s="12" customFormat="1">
      <c r="A19" s="31" t="str">
        <f>IF(B19="","","5")</f>
        <v>5</v>
      </c>
      <c r="B19" s="79" t="str">
        <f t="array" ref="B19">IFERROR(INDEX('Za fakturisanje'!$B$1:$B$50,SMALL(IF(ISNUMBER('Za fakturisanje'!$G$1:$G$50),ROW('Za fakturisanje'!$G$1:$G$50)),ROW(E5))),"")</f>
        <v>mikropovrće Brokula    90243657</v>
      </c>
      <c r="C19" s="53"/>
      <c r="D19" s="41" t="str">
        <f t="array" ref="D19">IFERROR(INDEX('Za fakturisanje'!$C$1:$C$50,SMALL(IF(ISNUMBER('Za fakturisanje'!$G$1:$G$50),ROW('Za fakturisanje'!$G$1:$G$50)),ROW(E5))),"")</f>
        <v>kom</v>
      </c>
      <c r="E19" s="31">
        <f t="array" ref="E19">IFERROR(INDEX('Za fakturisanje'!$G$1:$G$50,SMALL(IF(ISNUMBER('Za fakturisanje'!$G$1:$G$50),ROW('Za fakturisanje'!$G$1:$G$50)),ROW(E5))),"")</f>
        <v>5</v>
      </c>
      <c r="F19" s="41">
        <f t="array" ref="F19">IFERROR(INDEX('Za fakturisanje'!$E$1:$E$50,SMALL(IF(ISNUMBER('Za fakturisanje'!$G$1:$G$50),ROW('Za fakturisanje'!$G$1:$G$50)),ROW(E5))),"")</f>
        <v>3.07</v>
      </c>
      <c r="G19" s="33">
        <f t="shared" si="0"/>
        <v>15.35</v>
      </c>
      <c r="H19" s="31">
        <f>IF(B19="","",VLOOKUP($C$12,kupci!$A:$J,6,FALSE))</f>
        <v>0</v>
      </c>
      <c r="I19" s="41">
        <f t="shared" si="1"/>
        <v>0</v>
      </c>
      <c r="J19" s="33">
        <f t="shared" si="2"/>
        <v>15.35</v>
      </c>
      <c r="K19" s="33">
        <f t="shared" si="3"/>
        <v>17.959499999999998</v>
      </c>
      <c r="L19" s="10"/>
    </row>
    <row r="20" spans="1:12" s="12" customFormat="1">
      <c r="A20" s="31" t="str">
        <f>IF(B20="","","6")</f>
        <v>6</v>
      </c>
      <c r="B20" s="79" t="str">
        <f t="array" ref="B20">IFERROR(INDEX('Za fakturisanje'!$B$1:$B$50,SMALL(IF(ISNUMBER('Za fakturisanje'!$G$1:$G$50),ROW('Za fakturisanje'!$G$1:$G$50)),ROW(E6))),"")</f>
        <v>mikropovrće mix1        90243658</v>
      </c>
      <c r="C20" s="48"/>
      <c r="D20" s="41" t="str">
        <f t="array" ref="D20">IFERROR(INDEX('Za fakturisanje'!$C$1:$C$50,SMALL(IF(ISNUMBER('Za fakturisanje'!$G$1:$G$50),ROW('Za fakturisanje'!$G$1:$G$50)),ROW(E6))),"")</f>
        <v>kom</v>
      </c>
      <c r="E20" s="31">
        <f t="array" ref="E20">IFERROR(INDEX('Za fakturisanje'!$G$1:$G$50,SMALL(IF(ISNUMBER('Za fakturisanje'!$G$1:$G$50),ROW('Za fakturisanje'!$G$1:$G$50)),ROW(E6))),"")</f>
        <v>1</v>
      </c>
      <c r="F20" s="41">
        <f t="array" ref="F20">IFERROR(INDEX('Za fakturisanje'!$E$1:$E$50,SMALL(IF(ISNUMBER('Za fakturisanje'!$G$1:$G$50),ROW('Za fakturisanje'!$G$1:$G$50)),ROW(E6))),"")</f>
        <v>3.07</v>
      </c>
      <c r="G20" s="33">
        <f t="shared" si="0"/>
        <v>3.07</v>
      </c>
      <c r="H20" s="31">
        <f>IF(B20="","",VLOOKUP($C$12,kupci!$A:$J,6,FALSE))</f>
        <v>0</v>
      </c>
      <c r="I20" s="41">
        <f t="shared" si="1"/>
        <v>0</v>
      </c>
      <c r="J20" s="33">
        <f t="shared" si="2"/>
        <v>3.07</v>
      </c>
      <c r="K20" s="33">
        <f t="shared" si="3"/>
        <v>3.5918999999999994</v>
      </c>
      <c r="L20" s="10"/>
    </row>
    <row r="21" spans="1:12" s="12" customFormat="1">
      <c r="A21" s="31" t="str">
        <f>IF(B21="","","7")</f>
        <v>7</v>
      </c>
      <c r="B21" s="79" t="str">
        <f t="array" ref="B21">IFERROR(INDEX('Za fakturisanje'!$B$1:$B$50,SMALL(IF(ISNUMBER('Za fakturisanje'!$G$1:$G$50),ROW('Za fakturisanje'!$G$1:$G$50)),ROW(E7))),"")</f>
        <v>mikropovrće mix2        90243659</v>
      </c>
      <c r="C21" s="49"/>
      <c r="D21" s="41" t="str">
        <f t="array" ref="D21">IFERROR(INDEX('Za fakturisanje'!$C$1:$C$50,SMALL(IF(ISNUMBER('Za fakturisanje'!$G$1:$G$50),ROW('Za fakturisanje'!$G$1:$G$50)),ROW(E7))),"")</f>
        <v>kom</v>
      </c>
      <c r="E21" s="31">
        <f t="array" ref="E21">IFERROR(INDEX('Za fakturisanje'!$G$1:$G$50,SMALL(IF(ISNUMBER('Za fakturisanje'!$G$1:$G$50),ROW('Za fakturisanje'!$G$1:$G$50)),ROW(E7))),"")</f>
        <v>2</v>
      </c>
      <c r="F21" s="41">
        <f t="array" ref="F21">IFERROR(INDEX('Za fakturisanje'!$E$1:$E$50,SMALL(IF(ISNUMBER('Za fakturisanje'!$G$1:$G$50),ROW('Za fakturisanje'!$G$1:$G$50)),ROW(E7))),"")</f>
        <v>3.07</v>
      </c>
      <c r="G21" s="33">
        <f t="shared" si="0"/>
        <v>6.14</v>
      </c>
      <c r="H21" s="31">
        <f>IF(B21="","",VLOOKUP($C$12,kupci!$A:$J,6,FALSE))</f>
        <v>0</v>
      </c>
      <c r="I21" s="41">
        <f t="shared" si="1"/>
        <v>0</v>
      </c>
      <c r="J21" s="33">
        <f t="shared" si="2"/>
        <v>6.14</v>
      </c>
      <c r="K21" s="33">
        <f t="shared" si="3"/>
        <v>7.1837999999999989</v>
      </c>
      <c r="L21" s="10"/>
    </row>
    <row r="22" spans="1:12" s="12" customFormat="1">
      <c r="A22" s="31" t="str">
        <f>IF(B22="","","8")</f>
        <v/>
      </c>
      <c r="B22" s="79" t="str">
        <f t="array" ref="B22">IFERROR(INDEX('Za fakturisanje'!$B$1:$B$50,SMALL(IF(ISNUMBER('Za fakturisanje'!$G$1:$G$50),ROW('Za fakturisanje'!$G$1:$G$50)),ROW(E8))),"")</f>
        <v/>
      </c>
      <c r="C22" s="49"/>
      <c r="D22" s="41" t="str">
        <f t="array" ref="D22">IFERROR(INDEX('Za fakturisanje'!$C$1:$C$50,SMALL(IF(ISNUMBER('Za fakturisanje'!$G$1:$G$50),ROW('Za fakturisanje'!$G$1:$G$50)),ROW(E8))),"")</f>
        <v/>
      </c>
      <c r="E22" s="31" t="str">
        <f t="array" ref="E22">IFERROR(INDEX('Za fakturisanje'!$G$1:$G$50,SMALL(IF(ISNUMBER('Za fakturisanje'!$G$1:$G$50),ROW('Za fakturisanje'!$G$1:$G$50)),ROW(E8))),"")</f>
        <v/>
      </c>
      <c r="F22" s="41" t="str">
        <f t="array" ref="F22">IFERROR(INDEX('Za fakturisanje'!$E$1:$E$50,SMALL(IF(ISNUMBER('Za fakturisanje'!$G$1:$G$50),ROW('Za fakturisanje'!$G$1:$G$50)),ROW(E8))),"")</f>
        <v/>
      </c>
      <c r="G22" s="33" t="str">
        <f t="shared" si="0"/>
        <v/>
      </c>
      <c r="H22" s="31" t="str">
        <f>IF(B22="","",VLOOKUP($C$12,kupci!$A:$J,6,FALSE))</f>
        <v/>
      </c>
      <c r="I22" s="41" t="str">
        <f t="shared" si="1"/>
        <v/>
      </c>
      <c r="J22" s="33" t="str">
        <f t="shared" si="2"/>
        <v/>
      </c>
      <c r="K22" s="33" t="str">
        <f t="shared" si="3"/>
        <v/>
      </c>
      <c r="L22" s="10"/>
    </row>
    <row r="23" spans="1:12" s="12" customFormat="1">
      <c r="A23" s="31" t="str">
        <f>IF(B23="","","9")</f>
        <v/>
      </c>
      <c r="B23" s="79" t="str">
        <f t="array" ref="B23">IFERROR(INDEX('Za fakturisanje'!$B$1:$B$50,SMALL(IF(ISNUMBER('Za fakturisanje'!$G$1:$G$50),ROW('Za fakturisanje'!$G$1:$G$50)),ROW(E9))),"")</f>
        <v/>
      </c>
      <c r="C23" s="51"/>
      <c r="D23" s="41" t="str">
        <f t="array" ref="D23">IFERROR(INDEX('Za fakturisanje'!$C$1:$C$50,SMALL(IF(ISNUMBER('Za fakturisanje'!$G$1:$G$50),ROW('Za fakturisanje'!$G$1:$G$50)),ROW(E9))),"")</f>
        <v/>
      </c>
      <c r="E23" s="31" t="str">
        <f t="array" ref="E23">IFERROR(INDEX('Za fakturisanje'!$G$1:$G$50,SMALL(IF(ISNUMBER('Za fakturisanje'!$G$1:$G$50),ROW('Za fakturisanje'!$G$1:$G$50)),ROW(E9))),"")</f>
        <v/>
      </c>
      <c r="F23" s="41" t="str">
        <f t="array" ref="F23">IFERROR(INDEX('Za fakturisanje'!$E$1:$E$50,SMALL(IF(ISNUMBER('Za fakturisanje'!$G$1:$G$50),ROW('Za fakturisanje'!$G$1:$G$50)),ROW(E9))),"")</f>
        <v/>
      </c>
      <c r="G23" s="33" t="str">
        <f t="shared" si="0"/>
        <v/>
      </c>
      <c r="H23" s="31" t="str">
        <f>IF(B23="","",VLOOKUP($C$12,kupci!$A:$J,6,FALSE))</f>
        <v/>
      </c>
      <c r="I23" s="41" t="str">
        <f t="shared" si="1"/>
        <v/>
      </c>
      <c r="J23" s="33" t="str">
        <f t="shared" si="2"/>
        <v/>
      </c>
      <c r="K23" s="33" t="str">
        <f t="shared" si="3"/>
        <v/>
      </c>
      <c r="L23" s="10"/>
    </row>
    <row r="24" spans="1:12" s="12" customFormat="1">
      <c r="A24" s="31" t="str">
        <f>IF(B24="","","10")</f>
        <v/>
      </c>
      <c r="B24" s="79" t="str">
        <f t="array" ref="B24">IFERROR(INDEX('Za fakturisanje'!$B$1:$B$50,SMALL(IF(ISNUMBER('Za fakturisanje'!$G$1:$G$50),ROW('Za fakturisanje'!$G$1:$G$50)),ROW(E10))),"")</f>
        <v/>
      </c>
      <c r="C24" s="52"/>
      <c r="D24" s="41" t="str">
        <f t="array" ref="D24">IFERROR(INDEX('Za fakturisanje'!$C$1:$C$50,SMALL(IF(ISNUMBER('Za fakturisanje'!$G$1:$G$50),ROW('Za fakturisanje'!$G$1:$G$50)),ROW(E10))),"")</f>
        <v/>
      </c>
      <c r="E24" s="31" t="str">
        <f t="array" ref="E24">IFERROR(INDEX('Za fakturisanje'!$G$1:$G$50,SMALL(IF(ISNUMBER('Za fakturisanje'!$G$1:$G$50),ROW('Za fakturisanje'!$G$1:$G$50)),ROW(E10))),"")</f>
        <v/>
      </c>
      <c r="F24" s="41" t="str">
        <f t="array" ref="F24">IFERROR(INDEX('Za fakturisanje'!$E$1:$E$50,SMALL(IF(ISNUMBER('Za fakturisanje'!$G$1:$G$50),ROW('Za fakturisanje'!$G$1:$G$50)),ROW(E10))),"")</f>
        <v/>
      </c>
      <c r="G24" s="33" t="str">
        <f t="shared" si="0"/>
        <v/>
      </c>
      <c r="H24" s="31" t="str">
        <f>IF(B24="","",VLOOKUP($C$12,kupci!$A:$J,6,FALSE))</f>
        <v/>
      </c>
      <c r="I24" s="41" t="str">
        <f t="shared" si="1"/>
        <v/>
      </c>
      <c r="J24" s="33" t="str">
        <f t="shared" si="2"/>
        <v/>
      </c>
      <c r="K24" s="33" t="str">
        <f t="shared" si="3"/>
        <v/>
      </c>
      <c r="L24" s="10"/>
    </row>
    <row r="25" spans="1:12" s="12" customFormat="1">
      <c r="A25" s="31" t="str">
        <f>IF(B25="","","11")</f>
        <v/>
      </c>
      <c r="B25" s="79" t="str">
        <f t="array" ref="B25">IFERROR(INDEX('Za fakturisanje'!$B$1:$B$50,SMALL(IF(ISNUMBER('Za fakturisanje'!$G$1:$G$50),ROW('Za fakturisanje'!$G$1:$G$50)),ROW(E11))),"")</f>
        <v/>
      </c>
      <c r="C25" s="48"/>
      <c r="D25" s="41" t="str">
        <f t="array" ref="D25">IFERROR(INDEX('Za fakturisanje'!$C$1:$C$50,SMALL(IF(ISNUMBER('Za fakturisanje'!$G$1:$G$50),ROW('Za fakturisanje'!$G$1:$G$50)),ROW(E11))),"")</f>
        <v/>
      </c>
      <c r="E25" s="31" t="str">
        <f t="array" ref="E25">IFERROR(INDEX('Za fakturisanje'!$G$1:$G$50,SMALL(IF(ISNUMBER('Za fakturisanje'!$G$1:$G$50),ROW('Za fakturisanje'!$G$1:$G$50)),ROW(E11))),"")</f>
        <v/>
      </c>
      <c r="F25" s="41" t="str">
        <f t="array" ref="F25">IFERROR(INDEX('Za fakturisanje'!$E$1:$E$50,SMALL(IF(ISNUMBER('Za fakturisanje'!$G$1:$G$50),ROW('Za fakturisanje'!$G$1:$G$50)),ROW(E11))),"")</f>
        <v/>
      </c>
      <c r="G25" s="33" t="str">
        <f t="shared" si="0"/>
        <v/>
      </c>
      <c r="H25" s="31" t="str">
        <f>IF(B25="","",VLOOKUP($C$12,kupci!$A:$J,6,FALSE))</f>
        <v/>
      </c>
      <c r="I25" s="41" t="str">
        <f t="shared" si="1"/>
        <v/>
      </c>
      <c r="J25" s="33" t="str">
        <f t="shared" si="2"/>
        <v/>
      </c>
      <c r="K25" s="33" t="str">
        <f t="shared" si="3"/>
        <v/>
      </c>
      <c r="L25" s="10"/>
    </row>
    <row r="26" spans="1:12" s="12" customFormat="1">
      <c r="A26" s="31" t="str">
        <f>IF(B26="","","12")</f>
        <v/>
      </c>
      <c r="B26" s="79" t="str">
        <f t="array" ref="B26">IFERROR(INDEX('Za fakturisanje'!$B$1:$B$50,SMALL(IF(ISNUMBER('Za fakturisanje'!$G$1:$G$50),ROW('Za fakturisanje'!$G$1:$G$50)),ROW(E12))),"")</f>
        <v/>
      </c>
      <c r="C26" s="49"/>
      <c r="D26" s="41" t="str">
        <f t="array" ref="D26">IFERROR(INDEX('Za fakturisanje'!$C$1:$C$50,SMALL(IF(ISNUMBER('Za fakturisanje'!$G$1:$G$50),ROW('Za fakturisanje'!$G$1:$G$50)),ROW(E12))),"")</f>
        <v/>
      </c>
      <c r="E26" s="31" t="str">
        <f t="array" ref="E26">IFERROR(INDEX('Za fakturisanje'!$G$1:$G$50,SMALL(IF(ISNUMBER('Za fakturisanje'!$G$1:$G$50),ROW('Za fakturisanje'!$G$1:$G$50)),ROW(E12))),"")</f>
        <v/>
      </c>
      <c r="F26" s="41" t="str">
        <f t="array" ref="F26">IFERROR(INDEX('Za fakturisanje'!$E$1:$E$50,SMALL(IF(ISNUMBER('Za fakturisanje'!$G$1:$G$50),ROW('Za fakturisanje'!$G$1:$G$50)),ROW(E12))),"")</f>
        <v/>
      </c>
      <c r="G26" s="33" t="str">
        <f t="shared" si="0"/>
        <v/>
      </c>
      <c r="H26" s="31" t="str">
        <f>IF(B26="","",VLOOKUP($C$12,kupci!$A:$J,6,FALSE))</f>
        <v/>
      </c>
      <c r="I26" s="41" t="str">
        <f t="shared" si="1"/>
        <v/>
      </c>
      <c r="J26" s="33" t="str">
        <f t="shared" si="2"/>
        <v/>
      </c>
      <c r="K26" s="33" t="str">
        <f t="shared" si="3"/>
        <v/>
      </c>
      <c r="L26" s="10"/>
    </row>
    <row r="27" spans="1:12" s="12" customFormat="1">
      <c r="A27" s="31" t="str">
        <f>IF(B27="","","13")</f>
        <v/>
      </c>
      <c r="B27" s="79" t="str">
        <f t="array" ref="B27">IFERROR(INDEX('Za fakturisanje'!$B$1:$B$50,SMALL(IF(ISNUMBER('Za fakturisanje'!$G$1:$G$50),ROW('Za fakturisanje'!$G$1:$G$50)),ROW(E13))),"")</f>
        <v/>
      </c>
      <c r="C27" s="50"/>
      <c r="D27" s="41" t="str">
        <f t="array" ref="D27">IFERROR(INDEX('Za fakturisanje'!$C$1:$C$50,SMALL(IF(ISNUMBER('Za fakturisanje'!$G$1:$G$50),ROW('Za fakturisanje'!$G$1:$G$50)),ROW(E13))),"")</f>
        <v/>
      </c>
      <c r="E27" s="31" t="str">
        <f t="array" ref="E27">IFERROR(INDEX('Za fakturisanje'!$G$1:$G$50,SMALL(IF(ISNUMBER('Za fakturisanje'!$G$1:$G$50),ROW('Za fakturisanje'!$G$1:$G$50)),ROW(E13))),"")</f>
        <v/>
      </c>
      <c r="F27" s="41" t="str">
        <f t="array" ref="F27">IFERROR(INDEX('Za fakturisanje'!$E$1:$E$50,SMALL(IF(ISNUMBER('Za fakturisanje'!$G$1:$G$50),ROW('Za fakturisanje'!$G$1:$G$50)),ROW(E13))),"")</f>
        <v/>
      </c>
      <c r="G27" s="33" t="str">
        <f t="shared" si="0"/>
        <v/>
      </c>
      <c r="H27" s="31" t="str">
        <f>IF(B27="","",VLOOKUP($C$12,kupci!$A:$J,6,FALSE))</f>
        <v/>
      </c>
      <c r="I27" s="41" t="str">
        <f t="shared" si="1"/>
        <v/>
      </c>
      <c r="J27" s="33" t="str">
        <f t="shared" si="2"/>
        <v/>
      </c>
      <c r="K27" s="33" t="str">
        <f t="shared" si="3"/>
        <v/>
      </c>
      <c r="L27" s="10"/>
    </row>
    <row r="28" spans="1:12" s="12" customFormat="1">
      <c r="A28" s="31"/>
      <c r="B28" s="196"/>
      <c r="C28" s="197"/>
      <c r="D28" s="32"/>
      <c r="E28" s="36">
        <f>SUM(E15:E27)</f>
        <v>14</v>
      </c>
      <c r="F28" s="34"/>
      <c r="G28" s="33">
        <f>SUM(G15:G27)</f>
        <v>41.06</v>
      </c>
      <c r="H28" s="36"/>
      <c r="I28" s="34">
        <f>SUM(I15:I27)</f>
        <v>0</v>
      </c>
      <c r="J28" s="34">
        <f>+G28-I28</f>
        <v>41.06</v>
      </c>
      <c r="K28" s="34">
        <f>+J28*1.17</f>
        <v>48.040199999999999</v>
      </c>
      <c r="L28" s="10"/>
    </row>
    <row r="29" spans="1:12" s="12" customFormat="1">
      <c r="A29" s="37"/>
      <c r="B29" s="38"/>
      <c r="C29" s="38"/>
      <c r="D29" s="38"/>
      <c r="E29" s="38"/>
      <c r="F29" s="38"/>
      <c r="G29" s="38"/>
      <c r="H29" s="38"/>
      <c r="I29" s="38"/>
      <c r="J29" s="39"/>
      <c r="K29" s="39"/>
      <c r="L29" s="10"/>
    </row>
    <row r="30" spans="1:12" s="12" customFormat="1">
      <c r="A30" s="37"/>
      <c r="B30" s="38"/>
      <c r="C30" s="38"/>
      <c r="D30" s="38"/>
      <c r="E30" s="38"/>
      <c r="F30" s="38"/>
      <c r="G30" s="78" t="s">
        <v>302</v>
      </c>
      <c r="H30" s="32"/>
      <c r="I30" s="40"/>
      <c r="J30" s="70"/>
      <c r="K30" s="72">
        <f>TRUNC(ROUND(+G28*1,2),2)</f>
        <v>41.06</v>
      </c>
      <c r="L30" s="74" t="s">
        <v>303</v>
      </c>
    </row>
    <row r="31" spans="1:12" s="12" customFormat="1">
      <c r="A31" s="37"/>
      <c r="B31" s="38"/>
      <c r="C31" s="38"/>
      <c r="D31" s="38"/>
      <c r="E31" s="38"/>
      <c r="F31" s="38"/>
      <c r="G31" s="79" t="s">
        <v>304</v>
      </c>
      <c r="H31" s="67"/>
      <c r="I31" s="68"/>
      <c r="J31" s="69"/>
      <c r="K31" s="69">
        <f>TRUNC(ROUND(+I28*1,2),2)</f>
        <v>0</v>
      </c>
      <c r="L31" s="75" t="s">
        <v>303</v>
      </c>
    </row>
    <row r="32" spans="1:12" s="12" customFormat="1">
      <c r="A32" s="37"/>
      <c r="B32" s="38"/>
      <c r="C32" s="38"/>
      <c r="D32" s="38"/>
      <c r="E32" s="38"/>
      <c r="F32" s="38"/>
      <c r="G32" s="78" t="s">
        <v>305</v>
      </c>
      <c r="H32" s="32"/>
      <c r="I32" s="71"/>
      <c r="J32" s="72"/>
      <c r="K32" s="72">
        <f>TRUNC(ROUND(+J28*1,2),2)</f>
        <v>41.06</v>
      </c>
      <c r="L32" s="74" t="s">
        <v>303</v>
      </c>
    </row>
    <row r="33" spans="1:12">
      <c r="A33" s="37"/>
      <c r="B33" s="38"/>
      <c r="C33" s="38"/>
      <c r="D33" s="38"/>
      <c r="E33" s="38"/>
      <c r="F33" s="38"/>
      <c r="G33" s="79" t="s">
        <v>306</v>
      </c>
      <c r="H33" s="67"/>
      <c r="I33" s="68"/>
      <c r="J33" s="69"/>
      <c r="K33" s="69">
        <f>TRUNC(ROUND(K28-J28,2),2)</f>
        <v>6.98</v>
      </c>
      <c r="L33" s="75" t="s">
        <v>303</v>
      </c>
    </row>
    <row r="34" spans="1:12" ht="15.6">
      <c r="B34" s="38"/>
      <c r="C34" s="38"/>
      <c r="D34" s="38"/>
      <c r="E34" s="38"/>
      <c r="F34" s="38"/>
      <c r="G34" s="80" t="s">
        <v>307</v>
      </c>
      <c r="H34" s="42"/>
      <c r="I34" s="43"/>
      <c r="J34" s="73"/>
      <c r="K34" s="76">
        <f>TRUNC(ROUND(+K32+K33,2),2)</f>
        <v>48.04</v>
      </c>
      <c r="L34" s="77" t="s">
        <v>303</v>
      </c>
    </row>
    <row r="43" spans="1:12">
      <c r="B43" s="10" t="s">
        <v>308</v>
      </c>
      <c r="H43" s="10" t="s">
        <v>288</v>
      </c>
    </row>
  </sheetData>
  <sheetProtection sheet="1" objects="1" scenarios="1"/>
  <mergeCells count="10">
    <mergeCell ref="H12:I12"/>
    <mergeCell ref="J12:K12"/>
    <mergeCell ref="B14:C14"/>
    <mergeCell ref="B28:C28"/>
    <mergeCell ref="J1:K1"/>
    <mergeCell ref="J2:K2"/>
    <mergeCell ref="J3:K3"/>
    <mergeCell ref="J4:K4"/>
    <mergeCell ref="H11:I11"/>
    <mergeCell ref="J11:K11"/>
  </mergeCells>
  <pageMargins left="0.62992125984251968" right="0.23622047244094491" top="0.74803149606299213" bottom="0.74803149606299213" header="0.31496062992125984" footer="0.31496062992125984"/>
  <pageSetup paperSize="9" orientation="portrait" horizontalDpi="4294967293" vertic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799A-7E62-42C5-BA02-BBE8F0C2A232}">
  <sheetPr codeName="Sheet8"/>
  <dimension ref="A1:L43"/>
  <sheetViews>
    <sheetView zoomScaleNormal="100" workbookViewId="0">
      <selection activeCell="J1" sqref="J1:K1"/>
    </sheetView>
  </sheetViews>
  <sheetFormatPr defaultRowHeight="14.45"/>
  <cols>
    <col min="1" max="1" width="3.28515625" style="9" customWidth="1"/>
    <col min="2" max="2" width="14.28515625" style="10" customWidth="1"/>
    <col min="3" max="3" width="15.5703125" style="10" customWidth="1"/>
    <col min="4" max="4" width="5.140625" style="10" bestFit="1" customWidth="1"/>
    <col min="5" max="5" width="5.140625" style="10" customWidth="1"/>
    <col min="6" max="6" width="5.5703125" style="10" customWidth="1"/>
    <col min="7" max="7" width="8" style="10" customWidth="1"/>
    <col min="8" max="8" width="3.7109375" style="10" customWidth="1"/>
    <col min="9" max="9" width="5.7109375" style="29" customWidth="1"/>
    <col min="10" max="10" width="7.42578125" style="10" customWidth="1"/>
    <col min="11" max="11" width="10.28515625" style="10" customWidth="1"/>
    <col min="12" max="12" width="3.42578125" style="10" customWidth="1"/>
  </cols>
  <sheetData>
    <row r="1" spans="1:12">
      <c r="G1" s="82" t="s">
        <v>278</v>
      </c>
      <c r="H1" s="82"/>
      <c r="I1" s="11"/>
      <c r="J1" s="204">
        <f>'Za KIF-a'!E4</f>
        <v>22188</v>
      </c>
      <c r="K1" s="204"/>
    </row>
    <row r="2" spans="1:12">
      <c r="G2" s="81" t="s">
        <v>279</v>
      </c>
      <c r="H2" s="81"/>
      <c r="I2" s="11"/>
      <c r="J2" s="194">
        <f>'Za KIF-a'!D4</f>
        <v>1201</v>
      </c>
      <c r="K2" s="194"/>
    </row>
    <row r="3" spans="1:12">
      <c r="G3" s="81" t="s">
        <v>212</v>
      </c>
      <c r="H3" s="81"/>
      <c r="I3" s="13"/>
      <c r="J3" s="195">
        <f ca="1">'Za KIF-a'!L1</f>
        <v>44635</v>
      </c>
      <c r="K3" s="195"/>
    </row>
    <row r="4" spans="1:12">
      <c r="G4" s="81" t="s">
        <v>214</v>
      </c>
      <c r="H4" s="81"/>
      <c r="I4" s="13"/>
      <c r="J4" s="195">
        <f ca="1">'Za KIF-a'!L2</f>
        <v>44636</v>
      </c>
      <c r="K4" s="195"/>
    </row>
    <row r="5" spans="1:12">
      <c r="G5" s="81" t="s">
        <v>280</v>
      </c>
      <c r="H5" s="81"/>
      <c r="I5" s="13"/>
      <c r="J5" s="14" t="str">
        <f>VLOOKUP($C$12,kupci!$A:$J,7,FALSE)</f>
        <v>30 dana</v>
      </c>
      <c r="K5" s="14"/>
    </row>
    <row r="6" spans="1:12">
      <c r="B6" s="15" t="s">
        <v>281</v>
      </c>
      <c r="C6" s="16"/>
      <c r="D6" s="15"/>
      <c r="E6" s="16"/>
      <c r="F6" s="16" t="s">
        <v>282</v>
      </c>
      <c r="G6" s="16"/>
      <c r="H6" s="16"/>
      <c r="I6" s="16"/>
      <c r="J6" s="17"/>
      <c r="K6" s="16"/>
    </row>
    <row r="7" spans="1:12">
      <c r="B7" s="15" t="s">
        <v>283</v>
      </c>
      <c r="C7" s="16"/>
      <c r="D7" s="15"/>
      <c r="E7" s="16"/>
      <c r="F7" s="16" t="s">
        <v>284</v>
      </c>
      <c r="G7" s="16"/>
      <c r="H7" s="16"/>
      <c r="I7" s="16"/>
      <c r="J7" s="17"/>
      <c r="K7" s="16"/>
    </row>
    <row r="8" spans="1:12">
      <c r="B8" s="15" t="s">
        <v>14</v>
      </c>
      <c r="C8" s="16"/>
      <c r="D8" s="15"/>
      <c r="E8" s="16"/>
      <c r="F8" s="15" t="s">
        <v>285</v>
      </c>
      <c r="G8" s="16"/>
      <c r="H8" s="16"/>
      <c r="I8" s="16"/>
      <c r="J8" s="17"/>
      <c r="K8" s="16"/>
    </row>
    <row r="9" spans="1:12">
      <c r="B9" s="18" t="s">
        <v>286</v>
      </c>
      <c r="C9" s="19"/>
      <c r="D9" s="18"/>
      <c r="E9" s="19"/>
      <c r="F9" s="20" t="s">
        <v>287</v>
      </c>
      <c r="G9" s="19"/>
      <c r="H9" s="19"/>
      <c r="I9" s="19"/>
      <c r="J9" s="21"/>
      <c r="K9" s="19"/>
    </row>
    <row r="10" spans="1:12">
      <c r="B10" s="22" t="s">
        <v>288</v>
      </c>
      <c r="C10" s="28" t="str">
        <f>VLOOKUP($C$12,kupci!$A:$J,2,FALSE)</f>
        <v>BINGO d.o.o. Tuzla</v>
      </c>
      <c r="D10" s="24"/>
      <c r="E10" s="24"/>
      <c r="F10" s="23"/>
      <c r="G10" s="25"/>
      <c r="H10" s="25"/>
      <c r="I10" s="26"/>
      <c r="J10" s="25"/>
      <c r="K10" s="25"/>
    </row>
    <row r="11" spans="1:12">
      <c r="B11" s="27" t="s">
        <v>289</v>
      </c>
      <c r="C11" s="28" t="str">
        <f>VLOOKUP($C$12,kupci!$A:$J,3,FALSE)</f>
        <v>Tuzla, 75000</v>
      </c>
      <c r="D11" s="28"/>
      <c r="E11" s="28"/>
      <c r="F11" s="28"/>
      <c r="H11" s="200" t="str">
        <f>IF(J11="*", "",  "PDV broj")</f>
        <v>PDV broj</v>
      </c>
      <c r="I11" s="200"/>
      <c r="J11" s="198">
        <f>VLOOKUP($C$12,kupci!$A:$J,4,FALSE)</f>
        <v>209253450003</v>
      </c>
      <c r="K11" s="198"/>
    </row>
    <row r="12" spans="1:12">
      <c r="B12" s="27" t="s">
        <v>290</v>
      </c>
      <c r="C12" s="23" t="str">
        <f>'Za fakturisanje'!H$2</f>
        <v>Prod br. 219 ALTA</v>
      </c>
      <c r="D12" s="28"/>
      <c r="E12" s="28"/>
      <c r="F12" s="28"/>
      <c r="H12" s="201" t="str">
        <f>IF(J12="*", "",  "ID broj")</f>
        <v>ID broj</v>
      </c>
      <c r="I12" s="201"/>
      <c r="J12" s="199">
        <f>VLOOKUP($C$12,kupci!$A:$J,5,FALSE)</f>
        <v>4209253450003</v>
      </c>
      <c r="K12" s="199"/>
    </row>
    <row r="13" spans="1:12">
      <c r="C13" s="9"/>
      <c r="D13" s="9"/>
      <c r="K13" s="10" t="s">
        <v>291</v>
      </c>
    </row>
    <row r="14" spans="1:12" s="35" customFormat="1" ht="39.6" customHeight="1">
      <c r="A14" s="54" t="s">
        <v>292</v>
      </c>
      <c r="B14" s="202" t="s">
        <v>293</v>
      </c>
      <c r="C14" s="203"/>
      <c r="D14" s="30" t="s">
        <v>294</v>
      </c>
      <c r="E14" s="55" t="s">
        <v>295</v>
      </c>
      <c r="F14" s="30" t="s">
        <v>296</v>
      </c>
      <c r="G14" s="30" t="s">
        <v>297</v>
      </c>
      <c r="H14" s="61" t="s">
        <v>298</v>
      </c>
      <c r="I14" s="30" t="s">
        <v>299</v>
      </c>
      <c r="J14" s="30" t="s">
        <v>300</v>
      </c>
      <c r="K14" s="30" t="s">
        <v>301</v>
      </c>
      <c r="L14" s="56"/>
    </row>
    <row r="15" spans="1:12">
      <c r="A15" s="31" t="str">
        <f>IF(B15="","","1")</f>
        <v>1</v>
      </c>
      <c r="B15" s="79" t="str">
        <f t="array" ref="B15">IFERROR(INDEX('Za fakturisanje'!$B$1:$B$50,SMALL(IF(ISNUMBER('Za fakturisanje'!$H$1:$H$50),ROW('Za fakturisanje'!$H$1:$H$50)),ROW(E1))),"")</f>
        <v>svježe klice Alfalfa          D 17464</v>
      </c>
      <c r="C15" s="46"/>
      <c r="D15" s="88" t="str">
        <f t="array" ref="D15">IFERROR(INDEX('Za fakturisanje'!$C$1:$C$50,SMALL(IF(ISNUMBER('Za fakturisanje'!$H$1:$H$50),ROW('Za fakturisanje'!$H$1:$H$50)),ROW(E1))),"")</f>
        <v>kom</v>
      </c>
      <c r="E15" s="31">
        <f t="array" ref="E15">IFERROR(INDEX('Za fakturisanje'!$H$1:$H$50,SMALL(IF(ISNUMBER('Za fakturisanje'!$H$1:$H$50),ROW('Za fakturisanje'!$H$1:$H$50)),ROW(E1))),"")</f>
        <v>4</v>
      </c>
      <c r="F15" s="41">
        <f t="array" ref="F15">IFERROR(INDEX('Za fakturisanje'!$E$1:$E$50,SMALL(IF(ISNUMBER('Za fakturisanje'!$H$1:$H$50),ROW('Za fakturisanje'!$H$1:$H$50)),ROW(E1))),"")</f>
        <v>2.75</v>
      </c>
      <c r="G15" s="33">
        <f>IF(E15="", "",+E15*F15)</f>
        <v>11</v>
      </c>
      <c r="H15" s="31">
        <f>IF(B15="","",VLOOKUP($C$12,kupci!$A:$J,6,FALSE))</f>
        <v>0</v>
      </c>
      <c r="I15" s="41">
        <f>IF(B15="","",G15*H15/100)</f>
        <v>0</v>
      </c>
      <c r="J15" s="33">
        <f>IF(B15="", "",+G15-I15)</f>
        <v>11</v>
      </c>
      <c r="K15" s="33">
        <f>IF(B15="", "",+J15*1.17)</f>
        <v>12.87</v>
      </c>
    </row>
    <row r="16" spans="1:12">
      <c r="A16" s="31" t="str">
        <f>IF(B16="","","2")</f>
        <v>2</v>
      </c>
      <c r="B16" s="79" t="str">
        <f t="array" ref="B16">IFERROR(INDEX('Za fakturisanje'!$B$1:$B$50,SMALL(IF(ISNUMBER('Za fakturisanje'!$H$1:$H$50),ROW('Za fakturisanje'!$H$1:$H$50)),ROW(E2))),"")</f>
        <v>svježe klice mix 1           D 17465</v>
      </c>
      <c r="C16" s="46"/>
      <c r="D16" s="88" t="str">
        <f t="array" ref="D16">IFERROR(INDEX('Za fakturisanje'!$C$1:$C$50,SMALL(IF(ISNUMBER('Za fakturisanje'!$H$1:$H$50),ROW('Za fakturisanje'!$H$1:$H$50)),ROW(E2))),"")</f>
        <v>kom</v>
      </c>
      <c r="E16" s="31">
        <f t="array" ref="E16">IFERROR(INDEX('Za fakturisanje'!$H$1:$H$50,SMALL(IF(ISNUMBER('Za fakturisanje'!$H$1:$H$50),ROW('Za fakturisanje'!$H$1:$H$50)),ROW(E2))),"")</f>
        <v>2</v>
      </c>
      <c r="F16" s="41">
        <f t="array" ref="F16">IFERROR(INDEX('Za fakturisanje'!$E$1:$E$50,SMALL(IF(ISNUMBER('Za fakturisanje'!$H$1:$H$50),ROW('Za fakturisanje'!$H$1:$H$50)),ROW(E2))),"")</f>
        <v>2.75</v>
      </c>
      <c r="G16" s="33">
        <f t="shared" ref="G16:G27" si="0">IF(E16="", "",+E16*F16)</f>
        <v>5.5</v>
      </c>
      <c r="H16" s="31">
        <f>IF(B16="","",VLOOKUP($C$12,kupci!$A:$J,6,FALSE))</f>
        <v>0</v>
      </c>
      <c r="I16" s="41">
        <f t="shared" ref="I16:I27" si="1">IF(B16="","",G16*H16/100)</f>
        <v>0</v>
      </c>
      <c r="J16" s="33">
        <f t="shared" ref="J16:J27" si="2">IF(B16="", "",+G16-I16)</f>
        <v>5.5</v>
      </c>
      <c r="K16" s="33">
        <f t="shared" ref="K16:K27" si="3">IF(B16="", "",+J16*1.17)</f>
        <v>6.4349999999999996</v>
      </c>
    </row>
    <row r="17" spans="1:12">
      <c r="A17" s="31" t="str">
        <f>IF(B17="","","3")</f>
        <v>3</v>
      </c>
      <c r="B17" s="79" t="str">
        <f t="array" ref="B17">IFERROR(INDEX('Za fakturisanje'!$B$1:$B$50,SMALL(IF(ISNUMBER('Za fakturisanje'!$H$1:$H$50),ROW('Za fakturisanje'!$H$1:$H$50)),ROW(E3))),"")</f>
        <v>svježe klice mix 3           D 17467</v>
      </c>
      <c r="C17" s="46"/>
      <c r="D17" s="88" t="str">
        <f t="array" ref="D17">IFERROR(INDEX('Za fakturisanje'!$C$1:$C$50,SMALL(IF(ISNUMBER('Za fakturisanje'!$H$1:$H$50),ROW('Za fakturisanje'!$H$1:$H$50)),ROW(E3))),"")</f>
        <v>kom</v>
      </c>
      <c r="E17" s="31">
        <f t="array" ref="E17">IFERROR(INDEX('Za fakturisanje'!$H$1:$H$50,SMALL(IF(ISNUMBER('Za fakturisanje'!$H$1:$H$50),ROW('Za fakturisanje'!$H$1:$H$50)),ROW(E3))),"")</f>
        <v>2</v>
      </c>
      <c r="F17" s="41">
        <f t="array" ref="F17">IFERROR(INDEX('Za fakturisanje'!$E$1:$E$50,SMALL(IF(ISNUMBER('Za fakturisanje'!$H$1:$H$50),ROW('Za fakturisanje'!$H$1:$H$50)),ROW(E3))),"")</f>
        <v>2.75</v>
      </c>
      <c r="G17" s="33">
        <f t="shared" si="0"/>
        <v>5.5</v>
      </c>
      <c r="H17" s="31">
        <f>IF(B17="","",VLOOKUP($C$12,kupci!$A:$J,6,FALSE))</f>
        <v>0</v>
      </c>
      <c r="I17" s="41">
        <f t="shared" si="1"/>
        <v>0</v>
      </c>
      <c r="J17" s="33">
        <f t="shared" si="2"/>
        <v>5.5</v>
      </c>
      <c r="K17" s="33">
        <f t="shared" si="3"/>
        <v>6.4349999999999996</v>
      </c>
    </row>
    <row r="18" spans="1:12">
      <c r="A18" s="31" t="str">
        <f>IF(B18="","","4")</f>
        <v>4</v>
      </c>
      <c r="B18" s="79" t="str">
        <f t="array" ref="B18">IFERROR(INDEX('Za fakturisanje'!$B$1:$B$50,SMALL(IF(ISNUMBER('Za fakturisanje'!$H$1:$H$50),ROW('Za fakturisanje'!$H$1:$H$50)),ROW(E4))),"")</f>
        <v>mikropovrće Brokula     J 13769</v>
      </c>
      <c r="C18" s="46"/>
      <c r="D18" s="88" t="str">
        <f t="array" ref="D18">IFERROR(INDEX('Za fakturisanje'!$C$1:$C$50,SMALL(IF(ISNUMBER('Za fakturisanje'!$H$1:$H$50),ROW('Za fakturisanje'!$H$1:$H$50)),ROW(E4))),"")</f>
        <v>kom</v>
      </c>
      <c r="E18" s="31">
        <f t="array" ref="E18">IFERROR(INDEX('Za fakturisanje'!$H$1:$H$50,SMALL(IF(ISNUMBER('Za fakturisanje'!$H$1:$H$50),ROW('Za fakturisanje'!$H$1:$H$50)),ROW(E4))),"")</f>
        <v>12</v>
      </c>
      <c r="F18" s="41">
        <f t="array" ref="F18">IFERROR(INDEX('Za fakturisanje'!$E$1:$E$50,SMALL(IF(ISNUMBER('Za fakturisanje'!$H$1:$H$50),ROW('Za fakturisanje'!$H$1:$H$50)),ROW(E4))),"")</f>
        <v>3.07</v>
      </c>
      <c r="G18" s="33">
        <f t="shared" si="0"/>
        <v>36.839999999999996</v>
      </c>
      <c r="H18" s="31">
        <f>IF(B18="","",VLOOKUP($C$12,kupci!$A:$J,6,FALSE))</f>
        <v>0</v>
      </c>
      <c r="I18" s="41">
        <f t="shared" si="1"/>
        <v>0</v>
      </c>
      <c r="J18" s="33">
        <f t="shared" si="2"/>
        <v>36.839999999999996</v>
      </c>
      <c r="K18" s="33">
        <f t="shared" si="3"/>
        <v>43.102799999999995</v>
      </c>
    </row>
    <row r="19" spans="1:12">
      <c r="A19" s="31" t="str">
        <f>IF(B19="","","5")</f>
        <v>5</v>
      </c>
      <c r="B19" s="79" t="str">
        <f t="array" ref="B19">IFERROR(INDEX('Za fakturisanje'!$B$1:$B$50,SMALL(IF(ISNUMBER('Za fakturisanje'!$H$1:$H$50),ROW('Za fakturisanje'!$H$1:$H$50)),ROW(E5))),"")</f>
        <v>mikropovrće mix1          J 13770</v>
      </c>
      <c r="C19" s="53"/>
      <c r="D19" s="88" t="str">
        <f t="array" ref="D19">IFERROR(INDEX('Za fakturisanje'!$C$1:$C$50,SMALL(IF(ISNUMBER('Za fakturisanje'!$H$1:$H$50),ROW('Za fakturisanje'!$H$1:$H$50)),ROW(E5))),"")</f>
        <v>kom</v>
      </c>
      <c r="E19" s="31">
        <f t="array" ref="E19">IFERROR(INDEX('Za fakturisanje'!$H$1:$H$50,SMALL(IF(ISNUMBER('Za fakturisanje'!$H$1:$H$50),ROW('Za fakturisanje'!$H$1:$H$50)),ROW(E5))),"")</f>
        <v>8</v>
      </c>
      <c r="F19" s="41">
        <f t="array" ref="F19">IFERROR(INDEX('Za fakturisanje'!$E$1:$E$50,SMALL(IF(ISNUMBER('Za fakturisanje'!$H$1:$H$50),ROW('Za fakturisanje'!$H$1:$H$50)),ROW(E5))),"")</f>
        <v>3.07</v>
      </c>
      <c r="G19" s="33">
        <f t="shared" si="0"/>
        <v>24.56</v>
      </c>
      <c r="H19" s="31">
        <f>IF(B19="","",VLOOKUP($C$12,kupci!$A:$J,6,FALSE))</f>
        <v>0</v>
      </c>
      <c r="I19" s="41">
        <f t="shared" si="1"/>
        <v>0</v>
      </c>
      <c r="J19" s="33">
        <f t="shared" si="2"/>
        <v>24.56</v>
      </c>
      <c r="K19" s="33">
        <f t="shared" si="3"/>
        <v>28.735199999999995</v>
      </c>
    </row>
    <row r="20" spans="1:12">
      <c r="A20" s="31" t="str">
        <f>IF(B20="","","6")</f>
        <v>6</v>
      </c>
      <c r="B20" s="79" t="str">
        <f t="array" ref="B20">IFERROR(INDEX('Za fakturisanje'!$B$1:$B$50,SMALL(IF(ISNUMBER('Za fakturisanje'!$H$1:$H$50),ROW('Za fakturisanje'!$H$1:$H$50)),ROW(E6))),"")</f>
        <v>mikropovrće mix2          J 13771</v>
      </c>
      <c r="C20" s="48"/>
      <c r="D20" s="88" t="str">
        <f t="array" ref="D20">IFERROR(INDEX('Za fakturisanje'!$C$1:$C$50,SMALL(IF(ISNUMBER('Za fakturisanje'!$H$1:$H$50),ROW('Za fakturisanje'!$H$1:$H$50)),ROW(E6))),"")</f>
        <v>kom</v>
      </c>
      <c r="E20" s="31">
        <f t="array" ref="E20">IFERROR(INDEX('Za fakturisanje'!$H$1:$H$50,SMALL(IF(ISNUMBER('Za fakturisanje'!$H$1:$H$50),ROW('Za fakturisanje'!$H$1:$H$50)),ROW(E6))),"")</f>
        <v>3</v>
      </c>
      <c r="F20" s="41">
        <f t="array" ref="F20">IFERROR(INDEX('Za fakturisanje'!$E$1:$E$50,SMALL(IF(ISNUMBER('Za fakturisanje'!$H$1:$H$50),ROW('Za fakturisanje'!$H$1:$H$50)),ROW(E6))),"")</f>
        <v>3.07</v>
      </c>
      <c r="G20" s="33">
        <f t="shared" si="0"/>
        <v>9.2099999999999991</v>
      </c>
      <c r="H20" s="31">
        <f>IF(B20="","",VLOOKUP($C$12,kupci!$A:$J,6,FALSE))</f>
        <v>0</v>
      </c>
      <c r="I20" s="41">
        <f t="shared" si="1"/>
        <v>0</v>
      </c>
      <c r="J20" s="33">
        <f t="shared" si="2"/>
        <v>9.2099999999999991</v>
      </c>
      <c r="K20" s="33">
        <f t="shared" si="3"/>
        <v>10.775699999999999</v>
      </c>
    </row>
    <row r="21" spans="1:12">
      <c r="A21" s="31" t="str">
        <f>IF(B21="","","7")</f>
        <v/>
      </c>
      <c r="B21" s="79" t="str">
        <f t="array" ref="B21">IFERROR(INDEX('Za fakturisanje'!$B$1:$B$50,SMALL(IF(ISNUMBER('Za fakturisanje'!$H$1:$H$50),ROW('Za fakturisanje'!$H$1:$H$50)),ROW(E7))),"")</f>
        <v/>
      </c>
      <c r="C21" s="49"/>
      <c r="D21" s="88" t="str">
        <f t="array" ref="D21">IFERROR(INDEX('Za fakturisanje'!$C$1:$C$50,SMALL(IF(ISNUMBER('Za fakturisanje'!$H$1:$H$50),ROW('Za fakturisanje'!$H$1:$H$50)),ROW(E7))),"")</f>
        <v/>
      </c>
      <c r="E21" s="31" t="str">
        <f t="array" ref="E21">IFERROR(INDEX('Za fakturisanje'!$H$1:$H$50,SMALL(IF(ISNUMBER('Za fakturisanje'!$H$1:$H$50),ROW('Za fakturisanje'!$H$1:$H$50)),ROW(E7))),"")</f>
        <v/>
      </c>
      <c r="F21" s="41" t="str">
        <f t="array" ref="F21">IFERROR(INDEX('Za fakturisanje'!$E$1:$E$50,SMALL(IF(ISNUMBER('Za fakturisanje'!$H$1:$H$50),ROW('Za fakturisanje'!$H$1:$H$50)),ROW(E7))),"")</f>
        <v/>
      </c>
      <c r="G21" s="33" t="str">
        <f t="shared" si="0"/>
        <v/>
      </c>
      <c r="H21" s="31" t="str">
        <f>IF(B21="","",VLOOKUP($C$12,kupci!$A:$J,6,FALSE))</f>
        <v/>
      </c>
      <c r="I21" s="41" t="str">
        <f t="shared" si="1"/>
        <v/>
      </c>
      <c r="J21" s="33" t="str">
        <f t="shared" si="2"/>
        <v/>
      </c>
      <c r="K21" s="33" t="str">
        <f t="shared" si="3"/>
        <v/>
      </c>
    </row>
    <row r="22" spans="1:12">
      <c r="A22" s="31" t="str">
        <f>IF(B22="","","8")</f>
        <v/>
      </c>
      <c r="B22" s="79" t="str">
        <f t="array" ref="B22">IFERROR(INDEX('Za fakturisanje'!$B$1:$B$50,SMALL(IF(ISNUMBER('Za fakturisanje'!$H$1:$H$50),ROW('Za fakturisanje'!$H$1:$H$50)),ROW(E8))),"")</f>
        <v/>
      </c>
      <c r="C22" s="49"/>
      <c r="D22" s="88" t="str">
        <f t="array" ref="D22">IFERROR(INDEX('Za fakturisanje'!$C$1:$C$50,SMALL(IF(ISNUMBER('Za fakturisanje'!$H$1:$H$50),ROW('Za fakturisanje'!$H$1:$H$50)),ROW(E8))),"")</f>
        <v/>
      </c>
      <c r="E22" s="31" t="str">
        <f t="array" ref="E22">IFERROR(INDEX('Za fakturisanje'!$H$1:$H$50,SMALL(IF(ISNUMBER('Za fakturisanje'!$H$1:$H$50),ROW('Za fakturisanje'!$H$1:$H$50)),ROW(E8))),"")</f>
        <v/>
      </c>
      <c r="F22" s="41" t="str">
        <f t="array" ref="F22">IFERROR(INDEX('Za fakturisanje'!$E$1:$E$50,SMALL(IF(ISNUMBER('Za fakturisanje'!$H$1:$H$50),ROW('Za fakturisanje'!$H$1:$H$50)),ROW(E8))),"")</f>
        <v/>
      </c>
      <c r="G22" s="33" t="str">
        <f t="shared" si="0"/>
        <v/>
      </c>
      <c r="H22" s="31" t="str">
        <f>IF(B22="","",VLOOKUP($C$12,kupci!$A:$J,6,FALSE))</f>
        <v/>
      </c>
      <c r="I22" s="41" t="str">
        <f t="shared" si="1"/>
        <v/>
      </c>
      <c r="J22" s="33" t="str">
        <f t="shared" si="2"/>
        <v/>
      </c>
      <c r="K22" s="33" t="str">
        <f t="shared" si="3"/>
        <v/>
      </c>
    </row>
    <row r="23" spans="1:12">
      <c r="A23" s="31" t="str">
        <f>IF(B23="","","9")</f>
        <v/>
      </c>
      <c r="B23" s="79" t="str">
        <f t="array" ref="B23">IFERROR(INDEX('Za fakturisanje'!$B$1:$B$50,SMALL(IF(ISNUMBER('Za fakturisanje'!$H$1:$H$50),ROW('Za fakturisanje'!$H$1:$H$50)),ROW(E9))),"")</f>
        <v/>
      </c>
      <c r="C23" s="51"/>
      <c r="D23" s="88" t="str">
        <f t="array" ref="D23">IFERROR(INDEX('Za fakturisanje'!$C$1:$C$50,SMALL(IF(ISNUMBER('Za fakturisanje'!$H$1:$H$50),ROW('Za fakturisanje'!$H$1:$H$50)),ROW(E9))),"")</f>
        <v/>
      </c>
      <c r="E23" s="31" t="str">
        <f t="array" ref="E23">IFERROR(INDEX('Za fakturisanje'!$H$1:$H$50,SMALL(IF(ISNUMBER('Za fakturisanje'!$H$1:$H$50),ROW('Za fakturisanje'!$H$1:$H$50)),ROW(E9))),"")</f>
        <v/>
      </c>
      <c r="F23" s="41" t="str">
        <f t="array" ref="F23">IFERROR(INDEX('Za fakturisanje'!$E$1:$E$50,SMALL(IF(ISNUMBER('Za fakturisanje'!$H$1:$H$50),ROW('Za fakturisanje'!$H$1:$H$50)),ROW(E9))),"")</f>
        <v/>
      </c>
      <c r="G23" s="33" t="str">
        <f t="shared" si="0"/>
        <v/>
      </c>
      <c r="H23" s="31" t="str">
        <f>IF(B23="","",VLOOKUP($C$12,kupci!$A:$J,6,FALSE))</f>
        <v/>
      </c>
      <c r="I23" s="41" t="str">
        <f t="shared" si="1"/>
        <v/>
      </c>
      <c r="J23" s="33" t="str">
        <f t="shared" si="2"/>
        <v/>
      </c>
      <c r="K23" s="33" t="str">
        <f t="shared" si="3"/>
        <v/>
      </c>
    </row>
    <row r="24" spans="1:12">
      <c r="A24" s="31" t="str">
        <f>IF(B24="","","10")</f>
        <v/>
      </c>
      <c r="B24" s="79" t="str">
        <f t="array" ref="B24">IFERROR(INDEX('Za fakturisanje'!$B$1:$B$50,SMALL(IF(ISNUMBER('Za fakturisanje'!$H$1:$H$50),ROW('Za fakturisanje'!$H$1:$H$50)),ROW(E10))),"")</f>
        <v/>
      </c>
      <c r="C24" s="52"/>
      <c r="D24" s="88" t="str">
        <f t="array" ref="D24">IFERROR(INDEX('Za fakturisanje'!$C$1:$C$50,SMALL(IF(ISNUMBER('Za fakturisanje'!$H$1:$H$50),ROW('Za fakturisanje'!$H$1:$H$50)),ROW(E10))),"")</f>
        <v/>
      </c>
      <c r="E24" s="31" t="str">
        <f t="array" ref="E24">IFERROR(INDEX('Za fakturisanje'!$H$1:$H$50,SMALL(IF(ISNUMBER('Za fakturisanje'!$H$1:$H$50),ROW('Za fakturisanje'!$H$1:$H$50)),ROW(E10))),"")</f>
        <v/>
      </c>
      <c r="F24" s="41" t="str">
        <f t="array" ref="F24">IFERROR(INDEX('Za fakturisanje'!$E$1:$E$50,SMALL(IF(ISNUMBER('Za fakturisanje'!$H$1:$H$50),ROW('Za fakturisanje'!$H$1:$H$50)),ROW(E10))),"")</f>
        <v/>
      </c>
      <c r="G24" s="33" t="str">
        <f t="shared" si="0"/>
        <v/>
      </c>
      <c r="H24" s="31" t="str">
        <f>IF(B24="","",VLOOKUP($C$12,kupci!$A:$J,6,FALSE))</f>
        <v/>
      </c>
      <c r="I24" s="41" t="str">
        <f t="shared" si="1"/>
        <v/>
      </c>
      <c r="J24" s="33" t="str">
        <f t="shared" si="2"/>
        <v/>
      </c>
      <c r="K24" s="33" t="str">
        <f t="shared" si="3"/>
        <v/>
      </c>
    </row>
    <row r="25" spans="1:12">
      <c r="A25" s="31" t="str">
        <f>IF(B25="","","11")</f>
        <v/>
      </c>
      <c r="B25" s="79" t="str">
        <f t="array" ref="B25">IFERROR(INDEX('Za fakturisanje'!$B$1:$B$50,SMALL(IF(ISNUMBER('Za fakturisanje'!$H$1:$H$50),ROW('Za fakturisanje'!$H$1:$H$50)),ROW(E11))),"")</f>
        <v/>
      </c>
      <c r="C25" s="48"/>
      <c r="D25" s="88" t="str">
        <f t="array" ref="D25">IFERROR(INDEX('Za fakturisanje'!$C$1:$C$50,SMALL(IF(ISNUMBER('Za fakturisanje'!$H$1:$H$50),ROW('Za fakturisanje'!$H$1:$H$50)),ROW(E11))),"")</f>
        <v/>
      </c>
      <c r="E25" s="31" t="str">
        <f t="array" ref="E25">IFERROR(INDEX('Za fakturisanje'!$H$1:$H$50,SMALL(IF(ISNUMBER('Za fakturisanje'!$H$1:$H$50),ROW('Za fakturisanje'!$H$1:$H$50)),ROW(E11))),"")</f>
        <v/>
      </c>
      <c r="F25" s="41" t="str">
        <f t="array" ref="F25">IFERROR(INDEX('Za fakturisanje'!$E$1:$E$50,SMALL(IF(ISNUMBER('Za fakturisanje'!$H$1:$H$50),ROW('Za fakturisanje'!$H$1:$H$50)),ROW(E11))),"")</f>
        <v/>
      </c>
      <c r="G25" s="33" t="str">
        <f t="shared" si="0"/>
        <v/>
      </c>
      <c r="H25" s="31" t="str">
        <f>IF(B25="","",VLOOKUP($C$12,kupci!$A:$J,6,FALSE))</f>
        <v/>
      </c>
      <c r="I25" s="41" t="str">
        <f t="shared" si="1"/>
        <v/>
      </c>
      <c r="J25" s="33" t="str">
        <f t="shared" si="2"/>
        <v/>
      </c>
      <c r="K25" s="33" t="str">
        <f t="shared" si="3"/>
        <v/>
      </c>
    </row>
    <row r="26" spans="1:12">
      <c r="A26" s="31" t="str">
        <f>IF(B26="","","12")</f>
        <v/>
      </c>
      <c r="B26" s="79" t="str">
        <f t="array" ref="B26">IFERROR(INDEX('Za fakturisanje'!$B$1:$B$50,SMALL(IF(ISNUMBER('Za fakturisanje'!$H$1:$H$50),ROW('Za fakturisanje'!$H$1:$H$50)),ROW(E12))),"")</f>
        <v/>
      </c>
      <c r="C26" s="49"/>
      <c r="D26" s="88" t="str">
        <f t="array" ref="D26">IFERROR(INDEX('Za fakturisanje'!$C$1:$C$50,SMALL(IF(ISNUMBER('Za fakturisanje'!$H$1:$H$50),ROW('Za fakturisanje'!$H$1:$H$50)),ROW(E12))),"")</f>
        <v/>
      </c>
      <c r="E26" s="31" t="str">
        <f t="array" ref="E26">IFERROR(INDEX('Za fakturisanje'!$H$1:$H$50,SMALL(IF(ISNUMBER('Za fakturisanje'!$H$1:$H$50),ROW('Za fakturisanje'!$H$1:$H$50)),ROW(E12))),"")</f>
        <v/>
      </c>
      <c r="F26" s="41" t="str">
        <f t="array" ref="F26">IFERROR(INDEX('Za fakturisanje'!$E$1:$E$50,SMALL(IF(ISNUMBER('Za fakturisanje'!$H$1:$H$50),ROW('Za fakturisanje'!$H$1:$H$50)),ROW(E12))),"")</f>
        <v/>
      </c>
      <c r="G26" s="33" t="str">
        <f t="shared" si="0"/>
        <v/>
      </c>
      <c r="H26" s="31" t="str">
        <f>IF(B26="","",VLOOKUP($C$12,kupci!$A:$J,6,FALSE))</f>
        <v/>
      </c>
      <c r="I26" s="41" t="str">
        <f t="shared" si="1"/>
        <v/>
      </c>
      <c r="J26" s="33" t="str">
        <f t="shared" si="2"/>
        <v/>
      </c>
      <c r="K26" s="33" t="str">
        <f t="shared" si="3"/>
        <v/>
      </c>
    </row>
    <row r="27" spans="1:12">
      <c r="A27" s="31" t="str">
        <f>IF(B27="","","13")</f>
        <v/>
      </c>
      <c r="B27" s="79" t="str">
        <f t="array" ref="B27">IFERROR(INDEX('Za fakturisanje'!$B$1:$B$50,SMALL(IF(ISNUMBER('Za fakturisanje'!$H$1:$H$50),ROW('Za fakturisanje'!$H$1:$H$50)),ROW(E13))),"")</f>
        <v/>
      </c>
      <c r="C27" s="50"/>
      <c r="D27" s="88" t="str">
        <f t="array" ref="D27">IFERROR(INDEX('Za fakturisanje'!$C$1:$C$50,SMALL(IF(ISNUMBER('Za fakturisanje'!$H$1:$H$50),ROW('Za fakturisanje'!$H$1:$H$50)),ROW(E13))),"")</f>
        <v/>
      </c>
      <c r="E27" s="31" t="str">
        <f t="array" ref="E27">IFERROR(INDEX('Za fakturisanje'!$H$1:$H$50,SMALL(IF(ISNUMBER('Za fakturisanje'!$H$1:$H$50),ROW('Za fakturisanje'!$H$1:$H$50)),ROW(E13))),"")</f>
        <v/>
      </c>
      <c r="F27" s="41" t="str">
        <f t="array" ref="F27">IFERROR(INDEX('Za fakturisanje'!$E$1:$E$50,SMALL(IF(ISNUMBER('Za fakturisanje'!$H$1:$H$50),ROW('Za fakturisanje'!$H$1:$H$50)),ROW(E13))),"")</f>
        <v/>
      </c>
      <c r="G27" s="33" t="str">
        <f t="shared" si="0"/>
        <v/>
      </c>
      <c r="H27" s="31" t="str">
        <f>IF(B27="","",VLOOKUP($C$12,kupci!$A:$J,6,FALSE))</f>
        <v/>
      </c>
      <c r="I27" s="41" t="str">
        <f t="shared" si="1"/>
        <v/>
      </c>
      <c r="J27" s="33" t="str">
        <f t="shared" si="2"/>
        <v/>
      </c>
      <c r="K27" s="33" t="str">
        <f t="shared" si="3"/>
        <v/>
      </c>
    </row>
    <row r="28" spans="1:12">
      <c r="A28" s="31"/>
      <c r="B28" s="196"/>
      <c r="C28" s="197"/>
      <c r="D28" s="32"/>
      <c r="E28" s="36">
        <f>SUM(E15:E27)</f>
        <v>31</v>
      </c>
      <c r="F28" s="34"/>
      <c r="G28" s="33">
        <f>SUM(G15:G27)</f>
        <v>92.609999999999985</v>
      </c>
      <c r="H28" s="36"/>
      <c r="I28" s="34">
        <f>SUM(I15:I27)</f>
        <v>0</v>
      </c>
      <c r="J28" s="34">
        <f>+G28-I28</f>
        <v>92.609999999999985</v>
      </c>
      <c r="K28" s="34">
        <f>+J28*1.17</f>
        <v>108.35369999999998</v>
      </c>
    </row>
    <row r="29" spans="1:12">
      <c r="A29" s="37"/>
      <c r="B29" s="38"/>
      <c r="C29" s="38"/>
      <c r="D29" s="38"/>
      <c r="E29" s="38"/>
      <c r="F29" s="38"/>
      <c r="G29" s="38"/>
      <c r="H29" s="38"/>
      <c r="I29" s="38"/>
      <c r="J29" s="39"/>
      <c r="K29" s="39"/>
    </row>
    <row r="30" spans="1:12">
      <c r="A30" s="37"/>
      <c r="B30" s="38"/>
      <c r="C30" s="38"/>
      <c r="D30" s="38"/>
      <c r="E30" s="38"/>
      <c r="F30" s="38"/>
      <c r="G30" s="78" t="s">
        <v>302</v>
      </c>
      <c r="H30" s="32"/>
      <c r="I30" s="40"/>
      <c r="J30" s="70"/>
      <c r="K30" s="72">
        <f>TRUNC(ROUND(+G28*1,2),2)</f>
        <v>92.61</v>
      </c>
      <c r="L30" s="74" t="s">
        <v>303</v>
      </c>
    </row>
    <row r="31" spans="1:12">
      <c r="A31" s="37"/>
      <c r="B31" s="38"/>
      <c r="C31" s="38"/>
      <c r="D31" s="38"/>
      <c r="E31" s="38"/>
      <c r="F31" s="38"/>
      <c r="G31" s="79" t="s">
        <v>304</v>
      </c>
      <c r="H31" s="67"/>
      <c r="I31" s="68"/>
      <c r="J31" s="69"/>
      <c r="K31" s="69">
        <f>TRUNC(ROUND(+I28*1,2),2)</f>
        <v>0</v>
      </c>
      <c r="L31" s="75" t="s">
        <v>303</v>
      </c>
    </row>
    <row r="32" spans="1:12">
      <c r="A32" s="37"/>
      <c r="B32" s="38"/>
      <c r="C32" s="38"/>
      <c r="D32" s="38"/>
      <c r="E32" s="38"/>
      <c r="F32" s="38"/>
      <c r="G32" s="78" t="s">
        <v>305</v>
      </c>
      <c r="H32" s="32"/>
      <c r="I32" s="71"/>
      <c r="J32" s="72"/>
      <c r="K32" s="72">
        <f>TRUNC(ROUND(+J28*1,2),2)</f>
        <v>92.61</v>
      </c>
      <c r="L32" s="74" t="s">
        <v>303</v>
      </c>
    </row>
    <row r="33" spans="1:12">
      <c r="A33" s="37"/>
      <c r="B33" s="38"/>
      <c r="C33" s="38"/>
      <c r="D33" s="38"/>
      <c r="E33" s="38"/>
      <c r="F33" s="38"/>
      <c r="G33" s="79" t="s">
        <v>306</v>
      </c>
      <c r="H33" s="67"/>
      <c r="I33" s="68"/>
      <c r="J33" s="69"/>
      <c r="K33" s="69">
        <f>TRUNC(ROUND(K28-J28,2),2)</f>
        <v>15.74</v>
      </c>
      <c r="L33" s="75" t="s">
        <v>303</v>
      </c>
    </row>
    <row r="34" spans="1:12" ht="15.6">
      <c r="B34" s="38"/>
      <c r="C34" s="38"/>
      <c r="D34" s="38"/>
      <c r="E34" s="38"/>
      <c r="F34" s="38"/>
      <c r="G34" s="80" t="s">
        <v>307</v>
      </c>
      <c r="H34" s="42"/>
      <c r="I34" s="43"/>
      <c r="J34" s="73"/>
      <c r="K34" s="76">
        <f>TRUNC(ROUND(+K32+K33,2),2)</f>
        <v>108.35</v>
      </c>
      <c r="L34" s="77" t="s">
        <v>303</v>
      </c>
    </row>
    <row r="43" spans="1:12">
      <c r="B43" s="10" t="s">
        <v>308</v>
      </c>
      <c r="H43" s="10" t="s">
        <v>288</v>
      </c>
    </row>
  </sheetData>
  <sheetProtection sheet="1" objects="1" scenarios="1"/>
  <mergeCells count="10">
    <mergeCell ref="H12:I12"/>
    <mergeCell ref="J12:K12"/>
    <mergeCell ref="B14:C14"/>
    <mergeCell ref="B28:C28"/>
    <mergeCell ref="J1:K1"/>
    <mergeCell ref="J2:K2"/>
    <mergeCell ref="J3:K3"/>
    <mergeCell ref="J4:K4"/>
    <mergeCell ref="H11:I11"/>
    <mergeCell ref="J11:K11"/>
  </mergeCells>
  <pageMargins left="0.62992125984251968" right="0.23622047244094491" top="0.74803149606299213" bottom="0.74803149606299213" header="0.31496062992125984" footer="0.31496062992125984"/>
  <pageSetup paperSize="9" orientation="portrait" horizontalDpi="4294967293" vertic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E8061-3D60-4175-BB54-7AB33BBCE3A4}">
  <sheetPr codeName="Sheet9"/>
  <dimension ref="A1:L43"/>
  <sheetViews>
    <sheetView zoomScale="120" zoomScaleNormal="120" workbookViewId="0">
      <selection activeCell="J3" sqref="J3:K3"/>
    </sheetView>
  </sheetViews>
  <sheetFormatPr defaultRowHeight="14.45"/>
  <cols>
    <col min="1" max="1" width="3.28515625" style="9" customWidth="1"/>
    <col min="2" max="2" width="14.28515625" style="10" customWidth="1"/>
    <col min="3" max="3" width="15.5703125" style="10" customWidth="1"/>
    <col min="4" max="4" width="5.140625" style="10" bestFit="1" customWidth="1"/>
    <col min="5" max="5" width="5.140625" style="10" customWidth="1"/>
    <col min="6" max="6" width="5.5703125" style="10" customWidth="1"/>
    <col min="7" max="7" width="8" style="10" customWidth="1"/>
    <col min="8" max="8" width="3.7109375" style="10" customWidth="1"/>
    <col min="9" max="9" width="5.7109375" style="29" customWidth="1"/>
    <col min="10" max="10" width="7.42578125" style="10" customWidth="1"/>
    <col min="11" max="11" width="10.28515625" style="10" customWidth="1"/>
    <col min="12" max="12" width="3.42578125" style="10" customWidth="1"/>
  </cols>
  <sheetData>
    <row r="1" spans="1:12">
      <c r="G1" s="82" t="s">
        <v>278</v>
      </c>
      <c r="H1" s="82"/>
      <c r="I1" s="11"/>
      <c r="J1" s="204">
        <v>22188</v>
      </c>
      <c r="K1" s="204"/>
    </row>
    <row r="2" spans="1:12">
      <c r="G2" s="81" t="s">
        <v>279</v>
      </c>
      <c r="H2" s="81"/>
      <c r="I2" s="11"/>
      <c r="J2" s="194">
        <v>1216</v>
      </c>
      <c r="K2" s="194"/>
    </row>
    <row r="3" spans="1:12">
      <c r="G3" s="81" t="s">
        <v>212</v>
      </c>
      <c r="H3" s="81"/>
      <c r="I3" s="13"/>
      <c r="J3" s="195">
        <f ca="1">'Za KIF-a'!L1</f>
        <v>44635</v>
      </c>
      <c r="K3" s="195"/>
    </row>
    <row r="4" spans="1:12">
      <c r="G4" s="81" t="s">
        <v>214</v>
      </c>
      <c r="H4" s="81"/>
      <c r="I4" s="13"/>
      <c r="J4" s="195">
        <f ca="1">'Za KIF-a'!L2</f>
        <v>44636</v>
      </c>
      <c r="K4" s="195"/>
    </row>
    <row r="5" spans="1:12">
      <c r="G5" s="81" t="s">
        <v>280</v>
      </c>
      <c r="H5" s="81"/>
      <c r="I5" s="13"/>
      <c r="J5" s="14" t="str">
        <f>VLOOKUP($C$12,kupci!$A:$J,7,FALSE)</f>
        <v>30 dana</v>
      </c>
      <c r="K5" s="14"/>
    </row>
    <row r="6" spans="1:12">
      <c r="B6" s="15" t="s">
        <v>281</v>
      </c>
      <c r="C6" s="16"/>
      <c r="D6" s="15"/>
      <c r="E6" s="16"/>
      <c r="F6" s="16" t="s">
        <v>282</v>
      </c>
      <c r="G6" s="16"/>
      <c r="H6" s="16"/>
      <c r="I6" s="16"/>
      <c r="J6" s="17"/>
      <c r="K6" s="16"/>
    </row>
    <row r="7" spans="1:12">
      <c r="B7" s="15" t="s">
        <v>283</v>
      </c>
      <c r="C7" s="16"/>
      <c r="D7" s="15"/>
      <c r="E7" s="16"/>
      <c r="F7" s="16" t="s">
        <v>284</v>
      </c>
      <c r="G7" s="16"/>
      <c r="H7" s="16"/>
      <c r="I7" s="16"/>
      <c r="J7" s="17"/>
      <c r="K7" s="16"/>
    </row>
    <row r="8" spans="1:12">
      <c r="B8" s="15" t="s">
        <v>14</v>
      </c>
      <c r="C8" s="16"/>
      <c r="D8" s="15"/>
      <c r="E8" s="16"/>
      <c r="F8" s="15" t="s">
        <v>285</v>
      </c>
      <c r="G8" s="16"/>
      <c r="H8" s="16"/>
      <c r="I8" s="16"/>
      <c r="J8" s="17"/>
      <c r="K8" s="16"/>
    </row>
    <row r="9" spans="1:12">
      <c r="B9" s="18" t="s">
        <v>286</v>
      </c>
      <c r="C9" s="19"/>
      <c r="D9" s="18"/>
      <c r="E9" s="19"/>
      <c r="F9" s="20" t="s">
        <v>287</v>
      </c>
      <c r="G9" s="19"/>
      <c r="H9" s="19"/>
      <c r="I9" s="19"/>
      <c r="J9" s="21"/>
      <c r="K9" s="19"/>
    </row>
    <row r="10" spans="1:12">
      <c r="B10" s="22" t="s">
        <v>288</v>
      </c>
      <c r="C10" s="28" t="str">
        <f>VLOOKUP($C$12,kupci!$A:$J,2,FALSE)</f>
        <v>BINGO d.o.o. Tuzla</v>
      </c>
      <c r="D10" s="24"/>
      <c r="E10" s="24"/>
      <c r="F10" s="23"/>
      <c r="G10" s="25"/>
      <c r="H10" s="25"/>
      <c r="I10" s="26"/>
      <c r="J10" s="25"/>
      <c r="K10" s="25"/>
    </row>
    <row r="11" spans="1:12">
      <c r="B11" s="27" t="s">
        <v>289</v>
      </c>
      <c r="C11" s="28" t="str">
        <f>VLOOKUP($C$12,kupci!$A:$J,3,FALSE)</f>
        <v>Tuzla, 75000</v>
      </c>
      <c r="D11" s="28"/>
      <c r="E11" s="28"/>
      <c r="F11" s="28"/>
      <c r="H11" s="200" t="str">
        <f>IF(J11="*", "",  "PDV broj")</f>
        <v>PDV broj</v>
      </c>
      <c r="I11" s="200"/>
      <c r="J11" s="198">
        <f>VLOOKUP($C$12,kupci!$A:$J,4,FALSE)</f>
        <v>209253450003</v>
      </c>
      <c r="K11" s="198"/>
    </row>
    <row r="12" spans="1:12">
      <c r="B12" s="27" t="s">
        <v>290</v>
      </c>
      <c r="C12" s="23" t="str">
        <f>'Za fakturisanje'!I$2</f>
        <v>Hipermarket Kolodvorska PJ 143, Sarajevo 71000</v>
      </c>
      <c r="D12" s="28"/>
      <c r="E12" s="28"/>
      <c r="F12" s="28"/>
      <c r="H12" s="201" t="str">
        <f>IF(J12="*", "",  "ID broj")</f>
        <v>ID broj</v>
      </c>
      <c r="I12" s="201"/>
      <c r="J12" s="199">
        <f>VLOOKUP($C$12,kupci!$A:$J,5,FALSE)</f>
        <v>4209253450003</v>
      </c>
      <c r="K12" s="199"/>
    </row>
    <row r="13" spans="1:12">
      <c r="C13" s="9"/>
      <c r="D13" s="9"/>
      <c r="K13" s="10" t="s">
        <v>291</v>
      </c>
    </row>
    <row r="14" spans="1:12" s="35" customFormat="1" ht="39.6" customHeight="1">
      <c r="A14" s="54" t="s">
        <v>292</v>
      </c>
      <c r="B14" s="202" t="s">
        <v>293</v>
      </c>
      <c r="C14" s="203"/>
      <c r="D14" s="30" t="s">
        <v>294</v>
      </c>
      <c r="E14" s="55" t="s">
        <v>295</v>
      </c>
      <c r="F14" s="30" t="s">
        <v>296</v>
      </c>
      <c r="G14" s="30" t="s">
        <v>297</v>
      </c>
      <c r="H14" s="61" t="s">
        <v>298</v>
      </c>
      <c r="I14" s="30" t="s">
        <v>299</v>
      </c>
      <c r="J14" s="30" t="s">
        <v>300</v>
      </c>
      <c r="K14" s="30" t="s">
        <v>301</v>
      </c>
      <c r="L14" s="56"/>
    </row>
    <row r="15" spans="1:12">
      <c r="A15" s="31" t="str">
        <f>IF(B15="","","1")</f>
        <v>1</v>
      </c>
      <c r="B15" s="79" t="str">
        <f t="array" ref="B15">IFERROR(INDEX('Za fakturisanje'!$B$1:$B$50,SMALL(IF(ISNUMBER('Za fakturisanje'!$I$1:$I$50),ROW('Za fakturisanje'!$I$1:$I$50)),ROW(E1))),"")</f>
        <v>svježe klice Alfalfa          D 17464</v>
      </c>
      <c r="C15" s="46"/>
      <c r="D15" s="88" t="str">
        <f t="array" ref="D15">IFERROR(INDEX('Za fakturisanje'!$C$1:$C$50,SMALL(IF(ISNUMBER('Za fakturisanje'!$I$1:$I$50),ROW('Za fakturisanje'!$I$1:$I$50)),ROW(E1))),"")</f>
        <v>kom</v>
      </c>
      <c r="E15" s="31">
        <f t="array" ref="E15">IFERROR(INDEX('Za fakturisanje'!$I$1:$I$50,SMALL(IF(ISNUMBER('Za fakturisanje'!$I$1:$I$50),ROW('Za fakturisanje'!$I$1:$I$50)),ROW(E1))),"")</f>
        <v>3</v>
      </c>
      <c r="F15" s="41">
        <f t="array" ref="F15">IFERROR(INDEX('Za fakturisanje'!$E$1:$E$50,SMALL(IF(ISNUMBER('Za fakturisanje'!$I$1:$I$50),ROW('Za fakturisanje'!$I$1:$I$50)),ROW(E1))),"")</f>
        <v>2.75</v>
      </c>
      <c r="G15" s="33">
        <f>IF(E15="", "",+E15*F15)</f>
        <v>8.25</v>
      </c>
      <c r="H15" s="31">
        <f>IF(B15="","",VLOOKUP($C$12,kupci!$A:$J,6,FALSE))</f>
        <v>0</v>
      </c>
      <c r="I15" s="41">
        <f>IF(B15="","",G15*H15/100)</f>
        <v>0</v>
      </c>
      <c r="J15" s="33">
        <f>IF(B15="", "",+G15-I15)</f>
        <v>8.25</v>
      </c>
      <c r="K15" s="33">
        <f>IF(B15="", "",+J15*1.17)</f>
        <v>9.6524999999999999</v>
      </c>
    </row>
    <row r="16" spans="1:12">
      <c r="A16" s="31" t="str">
        <f>IF(B16="","","2")</f>
        <v>2</v>
      </c>
      <c r="B16" s="79" t="str">
        <f t="array" ref="B16">IFERROR(INDEX('Za fakturisanje'!$B$1:$B$50,SMALL(IF(ISNUMBER('Za fakturisanje'!$I$1:$I$50),ROW('Za fakturisanje'!$I$1:$I$50)),ROW(E2))),"")</f>
        <v>svježe klice mix 1           D 17465</v>
      </c>
      <c r="C16" s="46"/>
      <c r="D16" s="88" t="str">
        <f t="array" ref="D16">IFERROR(INDEX('Za fakturisanje'!$C$1:$C$50,SMALL(IF(ISNUMBER('Za fakturisanje'!$I$1:$I$50),ROW('Za fakturisanje'!$I$1:$I$50)),ROW(E2))),"")</f>
        <v>kom</v>
      </c>
      <c r="E16" s="31">
        <f t="array" ref="E16">IFERROR(INDEX('Za fakturisanje'!$I$1:$I$50,SMALL(IF(ISNUMBER('Za fakturisanje'!$I$1:$I$50),ROW('Za fakturisanje'!$I$1:$I$50)),ROW(E2))),"")</f>
        <v>3</v>
      </c>
      <c r="F16" s="41">
        <f t="array" ref="F16">IFERROR(INDEX('Za fakturisanje'!$E$1:$E$50,SMALL(IF(ISNUMBER('Za fakturisanje'!$I$1:$I$50),ROW('Za fakturisanje'!$I$1:$I$50)),ROW(E2))),"")</f>
        <v>2.75</v>
      </c>
      <c r="G16" s="33">
        <f t="shared" ref="G16:G27" si="0">IF(E16="", "",+E16*F16)</f>
        <v>8.25</v>
      </c>
      <c r="H16" s="31">
        <f>IF(B16="","",VLOOKUP($C$12,kupci!$A:$J,6,FALSE))</f>
        <v>0</v>
      </c>
      <c r="I16" s="41">
        <f t="shared" ref="I16:I27" si="1">IF(B16="","",G16*H16/100)</f>
        <v>0</v>
      </c>
      <c r="J16" s="33">
        <f t="shared" ref="J16:J27" si="2">IF(B16="", "",+G16-I16)</f>
        <v>8.25</v>
      </c>
      <c r="K16" s="33">
        <f t="shared" ref="K16:K27" si="3">IF(B16="", "",+J16*1.17)</f>
        <v>9.6524999999999999</v>
      </c>
    </row>
    <row r="17" spans="1:12">
      <c r="A17" s="31" t="str">
        <f>IF(B17="","","3")</f>
        <v>3</v>
      </c>
      <c r="B17" s="79" t="str">
        <f t="array" ref="B17">IFERROR(INDEX('Za fakturisanje'!$B$1:$B$50,SMALL(IF(ISNUMBER('Za fakturisanje'!$I$1:$I$50),ROW('Za fakturisanje'!$I$1:$I$50)),ROW(E3))),"")</f>
        <v>svježe klice mix 2           D 17466</v>
      </c>
      <c r="C17" s="46"/>
      <c r="D17" s="88" t="str">
        <f t="array" ref="D17">IFERROR(INDEX('Za fakturisanje'!$C$1:$C$50,SMALL(IF(ISNUMBER('Za fakturisanje'!$I$1:$I$50),ROW('Za fakturisanje'!$I$1:$I$50)),ROW(E3))),"")</f>
        <v>kom</v>
      </c>
      <c r="E17" s="31">
        <f t="array" ref="E17">IFERROR(INDEX('Za fakturisanje'!$I$1:$I$50,SMALL(IF(ISNUMBER('Za fakturisanje'!$I$1:$I$50),ROW('Za fakturisanje'!$I$1:$I$50)),ROW(E3))),"")</f>
        <v>1</v>
      </c>
      <c r="F17" s="41">
        <f t="array" ref="F17">IFERROR(INDEX('Za fakturisanje'!$E$1:$E$50,SMALL(IF(ISNUMBER('Za fakturisanje'!$I$1:$I$50),ROW('Za fakturisanje'!$I$1:$I$50)),ROW(E3))),"")</f>
        <v>2.75</v>
      </c>
      <c r="G17" s="33">
        <f t="shared" si="0"/>
        <v>2.75</v>
      </c>
      <c r="H17" s="31">
        <f>IF(B17="","",VLOOKUP($C$12,kupci!$A:$J,6,FALSE))</f>
        <v>0</v>
      </c>
      <c r="I17" s="41">
        <f t="shared" si="1"/>
        <v>0</v>
      </c>
      <c r="J17" s="33">
        <f t="shared" si="2"/>
        <v>2.75</v>
      </c>
      <c r="K17" s="33">
        <f t="shared" si="3"/>
        <v>3.2174999999999998</v>
      </c>
    </row>
    <row r="18" spans="1:12">
      <c r="A18" s="31" t="str">
        <f>IF(B18="","","4")</f>
        <v>4</v>
      </c>
      <c r="B18" s="79" t="str">
        <f t="array" ref="B18">IFERROR(INDEX('Za fakturisanje'!$B$1:$B$50,SMALL(IF(ISNUMBER('Za fakturisanje'!$I$1:$I$50),ROW('Za fakturisanje'!$I$1:$I$50)),ROW(E4))),"")</f>
        <v>svježe klice mix 3           D 17467</v>
      </c>
      <c r="C18" s="46"/>
      <c r="D18" s="88" t="str">
        <f t="array" ref="D18">IFERROR(INDEX('Za fakturisanje'!$C$1:$C$50,SMALL(IF(ISNUMBER('Za fakturisanje'!$I$1:$I$50),ROW('Za fakturisanje'!$I$1:$I$50)),ROW(E4))),"")</f>
        <v>kom</v>
      </c>
      <c r="E18" s="31">
        <f t="array" ref="E18">IFERROR(INDEX('Za fakturisanje'!$I$1:$I$50,SMALL(IF(ISNUMBER('Za fakturisanje'!$I$1:$I$50),ROW('Za fakturisanje'!$I$1:$I$50)),ROW(E4))),"")</f>
        <v>1</v>
      </c>
      <c r="F18" s="41">
        <f t="array" ref="F18">IFERROR(INDEX('Za fakturisanje'!$E$1:$E$50,SMALL(IF(ISNUMBER('Za fakturisanje'!$I$1:$I$50),ROW('Za fakturisanje'!$I$1:$I$50)),ROW(E4))),"")</f>
        <v>2.75</v>
      </c>
      <c r="G18" s="33">
        <f t="shared" si="0"/>
        <v>2.75</v>
      </c>
      <c r="H18" s="31">
        <f>IF(B18="","",VLOOKUP($C$12,kupci!$A:$J,6,FALSE))</f>
        <v>0</v>
      </c>
      <c r="I18" s="41">
        <f t="shared" si="1"/>
        <v>0</v>
      </c>
      <c r="J18" s="33">
        <f t="shared" si="2"/>
        <v>2.75</v>
      </c>
      <c r="K18" s="33">
        <f t="shared" si="3"/>
        <v>3.2174999999999998</v>
      </c>
    </row>
    <row r="19" spans="1:12">
      <c r="A19" s="31" t="str">
        <f>IF(B19="","","5")</f>
        <v>5</v>
      </c>
      <c r="B19" s="79" t="str">
        <f t="array" ref="B19">IFERROR(INDEX('Za fakturisanje'!$B$1:$B$50,SMALL(IF(ISNUMBER('Za fakturisanje'!$I$1:$I$50),ROW('Za fakturisanje'!$I$1:$I$50)),ROW(E5))),"")</f>
        <v>mikropovrće Brokula     J 13769</v>
      </c>
      <c r="C19" s="53"/>
      <c r="D19" s="88" t="str">
        <f t="array" ref="D19">IFERROR(INDEX('Za fakturisanje'!$C$1:$C$50,SMALL(IF(ISNUMBER('Za fakturisanje'!$I$1:$I$50),ROW('Za fakturisanje'!$I$1:$I$50)),ROW(E5))),"")</f>
        <v>kom</v>
      </c>
      <c r="E19" s="31">
        <f t="array" ref="E19">IFERROR(INDEX('Za fakturisanje'!$I$1:$I$50,SMALL(IF(ISNUMBER('Za fakturisanje'!$I$1:$I$50),ROW('Za fakturisanje'!$I$1:$I$50)),ROW(E5))),"")</f>
        <v>4</v>
      </c>
      <c r="F19" s="41">
        <f t="array" ref="F19">IFERROR(INDEX('Za fakturisanje'!$E$1:$E$50,SMALL(IF(ISNUMBER('Za fakturisanje'!$I$1:$I$50),ROW('Za fakturisanje'!$I$1:$I$50)),ROW(E5))),"")</f>
        <v>3.07</v>
      </c>
      <c r="G19" s="33">
        <f t="shared" si="0"/>
        <v>12.28</v>
      </c>
      <c r="H19" s="31">
        <f>IF(B19="","",VLOOKUP($C$12,kupci!$A:$J,6,FALSE))</f>
        <v>0</v>
      </c>
      <c r="I19" s="41">
        <f t="shared" si="1"/>
        <v>0</v>
      </c>
      <c r="J19" s="33">
        <f t="shared" si="2"/>
        <v>12.28</v>
      </c>
      <c r="K19" s="33">
        <f t="shared" si="3"/>
        <v>14.367599999999998</v>
      </c>
    </row>
    <row r="20" spans="1:12">
      <c r="A20" s="31" t="str">
        <f>IF(B20="","","6")</f>
        <v>6</v>
      </c>
      <c r="B20" s="79" t="str">
        <f t="array" ref="B20">IFERROR(INDEX('Za fakturisanje'!$B$1:$B$50,SMALL(IF(ISNUMBER('Za fakturisanje'!$I$1:$I$50),ROW('Za fakturisanje'!$I$1:$I$50)),ROW(E6))),"")</f>
        <v>mikropovrće mix1          J 13770</v>
      </c>
      <c r="C20" s="48"/>
      <c r="D20" s="88" t="str">
        <f t="array" ref="D20">IFERROR(INDEX('Za fakturisanje'!$C$1:$C$50,SMALL(IF(ISNUMBER('Za fakturisanje'!$I$1:$I$50),ROW('Za fakturisanje'!$I$1:$I$50)),ROW(E6))),"")</f>
        <v>kom</v>
      </c>
      <c r="E20" s="31">
        <f t="array" ref="E20">IFERROR(INDEX('Za fakturisanje'!$I$1:$I$50,SMALL(IF(ISNUMBER('Za fakturisanje'!$I$1:$I$50),ROW('Za fakturisanje'!$I$1:$I$50)),ROW(E6))),"")</f>
        <v>2</v>
      </c>
      <c r="F20" s="41">
        <f t="array" ref="F20">IFERROR(INDEX('Za fakturisanje'!$E$1:$E$50,SMALL(IF(ISNUMBER('Za fakturisanje'!$I$1:$I$50),ROW('Za fakturisanje'!$I$1:$I$50)),ROW(E6))),"")</f>
        <v>3.07</v>
      </c>
      <c r="G20" s="33">
        <f t="shared" si="0"/>
        <v>6.14</v>
      </c>
      <c r="H20" s="31">
        <f>IF(B20="","",VLOOKUP($C$12,kupci!$A:$J,6,FALSE))</f>
        <v>0</v>
      </c>
      <c r="I20" s="41">
        <f t="shared" si="1"/>
        <v>0</v>
      </c>
      <c r="J20" s="33">
        <f t="shared" si="2"/>
        <v>6.14</v>
      </c>
      <c r="K20" s="33">
        <f t="shared" si="3"/>
        <v>7.1837999999999989</v>
      </c>
    </row>
    <row r="21" spans="1:12">
      <c r="A21" s="31" t="str">
        <f>IF(B21="","","7")</f>
        <v>7</v>
      </c>
      <c r="B21" s="79" t="str">
        <f t="array" ref="B21">IFERROR(INDEX('Za fakturisanje'!$B$1:$B$50,SMALL(IF(ISNUMBER('Za fakturisanje'!$I$1:$I$50),ROW('Za fakturisanje'!$I$1:$I$50)),ROW(E7))),"")</f>
        <v>mikropovrće mix2          J 13771</v>
      </c>
      <c r="C21" s="49"/>
      <c r="D21" s="88" t="str">
        <f t="array" ref="D21">IFERROR(INDEX('Za fakturisanje'!$C$1:$C$50,SMALL(IF(ISNUMBER('Za fakturisanje'!$I$1:$I$50),ROW('Za fakturisanje'!$I$1:$I$50)),ROW(E7))),"")</f>
        <v>kom</v>
      </c>
      <c r="E21" s="31">
        <f t="array" ref="E21">IFERROR(INDEX('Za fakturisanje'!$I$1:$I$50,SMALL(IF(ISNUMBER('Za fakturisanje'!$I$1:$I$50),ROW('Za fakturisanje'!$I$1:$I$50)),ROW(E7))),"")</f>
        <v>2</v>
      </c>
      <c r="F21" s="41">
        <f t="array" ref="F21">IFERROR(INDEX('Za fakturisanje'!$E$1:$E$50,SMALL(IF(ISNUMBER('Za fakturisanje'!$I$1:$I$50),ROW('Za fakturisanje'!$I$1:$I$50)),ROW(E7))),"")</f>
        <v>3.07</v>
      </c>
      <c r="G21" s="33">
        <f t="shared" si="0"/>
        <v>6.14</v>
      </c>
      <c r="H21" s="31">
        <f>IF(B21="","",VLOOKUP($C$12,kupci!$A:$J,6,FALSE))</f>
        <v>0</v>
      </c>
      <c r="I21" s="41">
        <f t="shared" si="1"/>
        <v>0</v>
      </c>
      <c r="J21" s="33">
        <f t="shared" si="2"/>
        <v>6.14</v>
      </c>
      <c r="K21" s="33">
        <f t="shared" si="3"/>
        <v>7.1837999999999989</v>
      </c>
    </row>
    <row r="22" spans="1:12">
      <c r="A22" s="31" t="str">
        <f>IF(B22="","","8")</f>
        <v/>
      </c>
      <c r="B22" s="79" t="str">
        <f t="array" ref="B22">IFERROR(INDEX('Za fakturisanje'!$B$1:$B$50,SMALL(IF(ISNUMBER('Za fakturisanje'!$I$1:$I$50),ROW('Za fakturisanje'!$I$1:$I$50)),ROW(E8))),"")</f>
        <v/>
      </c>
      <c r="C22" s="49"/>
      <c r="D22" s="88" t="str">
        <f t="array" ref="D22">IFERROR(INDEX('Za fakturisanje'!$C$1:$C$50,SMALL(IF(ISNUMBER('Za fakturisanje'!$I$1:$I$50),ROW('Za fakturisanje'!$I$1:$I$50)),ROW(E8))),"")</f>
        <v/>
      </c>
      <c r="E22" s="31" t="str">
        <f t="array" ref="E22">IFERROR(INDEX('Za fakturisanje'!$I$1:$I$50,SMALL(IF(ISNUMBER('Za fakturisanje'!$I$1:$I$50),ROW('Za fakturisanje'!$I$1:$I$50)),ROW(E8))),"")</f>
        <v/>
      </c>
      <c r="F22" s="41" t="str">
        <f t="array" ref="F22">IFERROR(INDEX('Za fakturisanje'!$E$1:$E$50,SMALL(IF(ISNUMBER('Za fakturisanje'!$I$1:$I$50),ROW('Za fakturisanje'!$I$1:$I$50)),ROW(E8))),"")</f>
        <v/>
      </c>
      <c r="G22" s="33" t="str">
        <f t="shared" si="0"/>
        <v/>
      </c>
      <c r="H22" s="31" t="str">
        <f>IF(B22="","",VLOOKUP($C$12,kupci!$A:$J,6,FALSE))</f>
        <v/>
      </c>
      <c r="I22" s="41" t="str">
        <f t="shared" si="1"/>
        <v/>
      </c>
      <c r="J22" s="33" t="str">
        <f t="shared" si="2"/>
        <v/>
      </c>
      <c r="K22" s="33" t="str">
        <f t="shared" si="3"/>
        <v/>
      </c>
    </row>
    <row r="23" spans="1:12">
      <c r="A23" s="31" t="str">
        <f>IF(B23="","","9")</f>
        <v/>
      </c>
      <c r="B23" s="79" t="str">
        <f t="array" ref="B23">IFERROR(INDEX('Za fakturisanje'!$B$1:$B$50,SMALL(IF(ISNUMBER('Za fakturisanje'!$H$1:$H$50),ROW('Za fakturisanje'!$H$1:$H$50)),ROW(E9))),"")</f>
        <v/>
      </c>
      <c r="C23" s="51"/>
      <c r="D23" s="88" t="str">
        <f t="array" ref="D23">IFERROR(INDEX('Za fakturisanje'!$C$1:$C$50,SMALL(IF(ISNUMBER('Za fakturisanje'!$I$1:$I$50),ROW('Za fakturisanje'!$I$1:$I$50)),ROW(E9))),"")</f>
        <v/>
      </c>
      <c r="E23" s="31" t="str">
        <f t="array" ref="E23">IFERROR(INDEX('Za fakturisanje'!$I$1:$I$50,SMALL(IF(ISNUMBER('Za fakturisanje'!$I$1:$I$50),ROW('Za fakturisanje'!$I$1:$I$50)),ROW(E9))),"")</f>
        <v/>
      </c>
      <c r="F23" s="41" t="str">
        <f t="array" ref="F23">IFERROR(INDEX('Za fakturisanje'!$E$1:$E$50,SMALL(IF(ISNUMBER('Za fakturisanje'!$I$1:$I$50),ROW('Za fakturisanje'!$I$1:$I$50)),ROW(E9))),"")</f>
        <v/>
      </c>
      <c r="G23" s="33" t="str">
        <f t="shared" si="0"/>
        <v/>
      </c>
      <c r="H23" s="31" t="str">
        <f>IF(B23="","",VLOOKUP($C$12,kupci!$A:$J,6,FALSE))</f>
        <v/>
      </c>
      <c r="I23" s="41" t="str">
        <f t="shared" si="1"/>
        <v/>
      </c>
      <c r="J23" s="33" t="str">
        <f t="shared" si="2"/>
        <v/>
      </c>
      <c r="K23" s="33" t="str">
        <f t="shared" si="3"/>
        <v/>
      </c>
    </row>
    <row r="24" spans="1:12">
      <c r="A24" s="31" t="str">
        <f>IF(B24="","","10")</f>
        <v/>
      </c>
      <c r="B24" s="79" t="str">
        <f t="array" ref="B24">IFERROR(INDEX('Za fakturisanje'!$B$1:$B$50,SMALL(IF(ISNUMBER('Za fakturisanje'!$H$1:$H$50),ROW('Za fakturisanje'!$H$1:$H$50)),ROW(E10))),"")</f>
        <v/>
      </c>
      <c r="C24" s="52"/>
      <c r="D24" s="88" t="str">
        <f t="array" ref="D24">IFERROR(INDEX('Za fakturisanje'!$C$1:$C$50,SMALL(IF(ISNUMBER('Za fakturisanje'!$I$1:$I$50),ROW('Za fakturisanje'!$I$1:$I$50)),ROW(E10))),"")</f>
        <v/>
      </c>
      <c r="E24" s="31" t="str">
        <f t="array" ref="E24">IFERROR(INDEX('Za fakturisanje'!$I$1:$I$50,SMALL(IF(ISNUMBER('Za fakturisanje'!$I$1:$I$50),ROW('Za fakturisanje'!$I$1:$I$50)),ROW(E10))),"")</f>
        <v/>
      </c>
      <c r="F24" s="41" t="str">
        <f t="array" ref="F24">IFERROR(INDEX('Za fakturisanje'!$E$1:$E$50,SMALL(IF(ISNUMBER('Za fakturisanje'!$I$1:$I$50),ROW('Za fakturisanje'!$I$1:$I$50)),ROW(E10))),"")</f>
        <v/>
      </c>
      <c r="G24" s="33" t="str">
        <f t="shared" si="0"/>
        <v/>
      </c>
      <c r="H24" s="31" t="str">
        <f>IF(B24="","",VLOOKUP($C$12,kupci!$A:$J,6,FALSE))</f>
        <v/>
      </c>
      <c r="I24" s="41" t="str">
        <f t="shared" si="1"/>
        <v/>
      </c>
      <c r="J24" s="33" t="str">
        <f t="shared" si="2"/>
        <v/>
      </c>
      <c r="K24" s="33" t="str">
        <f t="shared" si="3"/>
        <v/>
      </c>
    </row>
    <row r="25" spans="1:12">
      <c r="A25" s="31" t="str">
        <f>IF(B25="","","11")</f>
        <v/>
      </c>
      <c r="B25" s="79" t="str">
        <f t="array" ref="B25">IFERROR(INDEX('Za fakturisanje'!$B$1:$B$50,SMALL(IF(ISNUMBER('Za fakturisanje'!$H$1:$H$50),ROW('Za fakturisanje'!$H$1:$H$50)),ROW(E11))),"")</f>
        <v/>
      </c>
      <c r="C25" s="48"/>
      <c r="D25" s="88" t="str">
        <f t="array" ref="D25">IFERROR(INDEX('Za fakturisanje'!$C$1:$C$50,SMALL(IF(ISNUMBER('Za fakturisanje'!$I$1:$I$50),ROW('Za fakturisanje'!$I$1:$I$50)),ROW(E11))),"")</f>
        <v/>
      </c>
      <c r="E25" s="31" t="str">
        <f t="array" ref="E25">IFERROR(INDEX('Za fakturisanje'!$I$1:$I$50,SMALL(IF(ISNUMBER('Za fakturisanje'!$I$1:$I$50),ROW('Za fakturisanje'!$I$1:$I$50)),ROW(E11))),"")</f>
        <v/>
      </c>
      <c r="F25" s="41" t="str">
        <f t="array" ref="F25">IFERROR(INDEX('Za fakturisanje'!$E$1:$E$50,SMALL(IF(ISNUMBER('Za fakturisanje'!$I$1:$I$50),ROW('Za fakturisanje'!$I$1:$I$50)),ROW(E11))),"")</f>
        <v/>
      </c>
      <c r="G25" s="33" t="str">
        <f t="shared" si="0"/>
        <v/>
      </c>
      <c r="H25" s="31" t="str">
        <f>IF(B25="","",VLOOKUP($C$12,kupci!$A:$J,6,FALSE))</f>
        <v/>
      </c>
      <c r="I25" s="41" t="str">
        <f t="shared" si="1"/>
        <v/>
      </c>
      <c r="J25" s="33" t="str">
        <f t="shared" si="2"/>
        <v/>
      </c>
      <c r="K25" s="33" t="str">
        <f t="shared" si="3"/>
        <v/>
      </c>
    </row>
    <row r="26" spans="1:12">
      <c r="A26" s="31" t="str">
        <f>IF(B26="","","12")</f>
        <v/>
      </c>
      <c r="B26" s="79" t="str">
        <f t="array" ref="B26">IFERROR(INDEX('Za fakturisanje'!$B$1:$B$50,SMALL(IF(ISNUMBER('Za fakturisanje'!$H$1:$H$50),ROW('Za fakturisanje'!$H$1:$H$50)),ROW(E12))),"")</f>
        <v/>
      </c>
      <c r="C26" s="49"/>
      <c r="D26" s="88" t="str">
        <f t="array" ref="D26">IFERROR(INDEX('Za fakturisanje'!$C$1:$C$50,SMALL(IF(ISNUMBER('Za fakturisanje'!$I$1:$I$50),ROW('Za fakturisanje'!$I$1:$I$50)),ROW(E12))),"")</f>
        <v/>
      </c>
      <c r="E26" s="31" t="str">
        <f t="array" ref="E26">IFERROR(INDEX('Za fakturisanje'!$I$1:$I$50,SMALL(IF(ISNUMBER('Za fakturisanje'!$I$1:$I$50),ROW('Za fakturisanje'!$I$1:$I$50)),ROW(E12))),"")</f>
        <v/>
      </c>
      <c r="F26" s="41" t="str">
        <f t="array" ref="F26">IFERROR(INDEX('Za fakturisanje'!$E$1:$E$50,SMALL(IF(ISNUMBER('Za fakturisanje'!$I$1:$I$50),ROW('Za fakturisanje'!$I$1:$I$50)),ROW(E12))),"")</f>
        <v/>
      </c>
      <c r="G26" s="33" t="str">
        <f t="shared" si="0"/>
        <v/>
      </c>
      <c r="H26" s="31" t="str">
        <f>IF(B26="","",VLOOKUP($C$12,kupci!$A:$J,6,FALSE))</f>
        <v/>
      </c>
      <c r="I26" s="41" t="str">
        <f t="shared" si="1"/>
        <v/>
      </c>
      <c r="J26" s="33" t="str">
        <f t="shared" si="2"/>
        <v/>
      </c>
      <c r="K26" s="33" t="str">
        <f t="shared" si="3"/>
        <v/>
      </c>
    </row>
    <row r="27" spans="1:12">
      <c r="A27" s="31" t="str">
        <f>IF(B27="","","13")</f>
        <v/>
      </c>
      <c r="B27" s="79" t="str">
        <f t="array" ref="B27">IFERROR(INDEX('Za fakturisanje'!$B$1:$B$50,SMALL(IF(ISNUMBER('Za fakturisanje'!$H$1:$H$50),ROW('Za fakturisanje'!$H$1:$H$50)),ROW(E13))),"")</f>
        <v/>
      </c>
      <c r="C27" s="50"/>
      <c r="D27" s="88" t="str">
        <f t="array" ref="D27">IFERROR(INDEX('Za fakturisanje'!$C$1:$C$50,SMALL(IF(ISNUMBER('Za fakturisanje'!$I$1:$I$50),ROW('Za fakturisanje'!$I$1:$I$50)),ROW(E13))),"")</f>
        <v/>
      </c>
      <c r="E27" s="31" t="str">
        <f t="array" ref="E27">IFERROR(INDEX('Za fakturisanje'!$I$1:$I$50,SMALL(IF(ISNUMBER('Za fakturisanje'!$I$1:$I$50),ROW('Za fakturisanje'!$I$1:$I$50)),ROW(E13))),"")</f>
        <v/>
      </c>
      <c r="F27" s="41" t="str">
        <f t="array" ref="F27">IFERROR(INDEX('Za fakturisanje'!$E$1:$E$50,SMALL(IF(ISNUMBER('Za fakturisanje'!$I$1:$I$50),ROW('Za fakturisanje'!$I$1:$I$50)),ROW(E13))),"")</f>
        <v/>
      </c>
      <c r="G27" s="33" t="str">
        <f t="shared" si="0"/>
        <v/>
      </c>
      <c r="H27" s="31" t="str">
        <f>IF(B27="","",VLOOKUP($C$12,kupci!$A:$J,6,FALSE))</f>
        <v/>
      </c>
      <c r="I27" s="41" t="str">
        <f t="shared" si="1"/>
        <v/>
      </c>
      <c r="J27" s="33" t="str">
        <f t="shared" si="2"/>
        <v/>
      </c>
      <c r="K27" s="33" t="str">
        <f t="shared" si="3"/>
        <v/>
      </c>
    </row>
    <row r="28" spans="1:12">
      <c r="A28" s="31"/>
      <c r="B28" s="196"/>
      <c r="C28" s="197"/>
      <c r="D28" s="32"/>
      <c r="E28" s="36">
        <f>SUM(E15:E27)</f>
        <v>16</v>
      </c>
      <c r="F28" s="34"/>
      <c r="G28" s="33">
        <f>SUM(G15:G27)</f>
        <v>46.56</v>
      </c>
      <c r="H28" s="36"/>
      <c r="I28" s="34">
        <f>SUM(I15:I27)</f>
        <v>0</v>
      </c>
      <c r="J28" s="34">
        <f>+G28-I28</f>
        <v>46.56</v>
      </c>
      <c r="K28" s="34">
        <f>+J28*1.17</f>
        <v>54.475200000000001</v>
      </c>
    </row>
    <row r="29" spans="1:12">
      <c r="A29" s="37"/>
      <c r="B29" s="38"/>
      <c r="C29" s="38"/>
      <c r="D29" s="38"/>
      <c r="E29" s="38"/>
      <c r="F29" s="38"/>
      <c r="G29" s="38"/>
      <c r="H29" s="38"/>
      <c r="I29" s="38"/>
      <c r="J29" s="39"/>
      <c r="K29" s="39"/>
    </row>
    <row r="30" spans="1:12">
      <c r="A30" s="37"/>
      <c r="B30" s="38"/>
      <c r="C30" s="38"/>
      <c r="D30" s="38"/>
      <c r="E30" s="38"/>
      <c r="F30" s="38"/>
      <c r="G30" s="78" t="s">
        <v>302</v>
      </c>
      <c r="H30" s="32"/>
      <c r="I30" s="40"/>
      <c r="J30" s="70"/>
      <c r="K30" s="72">
        <f>TRUNC(ROUND(+G28*1,2),2)</f>
        <v>46.56</v>
      </c>
      <c r="L30" s="74" t="s">
        <v>303</v>
      </c>
    </row>
    <row r="31" spans="1:12">
      <c r="A31" s="37"/>
      <c r="B31" s="38"/>
      <c r="C31" s="38"/>
      <c r="D31" s="38"/>
      <c r="E31" s="38"/>
      <c r="F31" s="38"/>
      <c r="G31" s="79" t="s">
        <v>304</v>
      </c>
      <c r="H31" s="67"/>
      <c r="I31" s="68"/>
      <c r="J31" s="69"/>
      <c r="K31" s="69">
        <f>TRUNC(ROUND(+I28*1,2),2)</f>
        <v>0</v>
      </c>
      <c r="L31" s="75" t="s">
        <v>303</v>
      </c>
    </row>
    <row r="32" spans="1:12">
      <c r="A32" s="37"/>
      <c r="B32" s="38"/>
      <c r="C32" s="38"/>
      <c r="D32" s="38"/>
      <c r="E32" s="38"/>
      <c r="F32" s="38"/>
      <c r="G32" s="78" t="s">
        <v>305</v>
      </c>
      <c r="H32" s="32"/>
      <c r="I32" s="71"/>
      <c r="J32" s="72"/>
      <c r="K32" s="72">
        <f>TRUNC(ROUND(+J28*1,2),2)</f>
        <v>46.56</v>
      </c>
      <c r="L32" s="74" t="s">
        <v>303</v>
      </c>
    </row>
    <row r="33" spans="1:12">
      <c r="A33" s="37"/>
      <c r="B33" s="38"/>
      <c r="C33" s="38"/>
      <c r="D33" s="38"/>
      <c r="E33" s="38"/>
      <c r="F33" s="38"/>
      <c r="G33" s="79" t="s">
        <v>306</v>
      </c>
      <c r="H33" s="67"/>
      <c r="I33" s="68"/>
      <c r="J33" s="69"/>
      <c r="K33" s="69">
        <f>TRUNC(ROUND(K28-J28,2),2)</f>
        <v>7.92</v>
      </c>
      <c r="L33" s="75" t="s">
        <v>303</v>
      </c>
    </row>
    <row r="34" spans="1:12" ht="15.6">
      <c r="B34" s="38"/>
      <c r="C34" s="38"/>
      <c r="D34" s="38"/>
      <c r="E34" s="38"/>
      <c r="F34" s="38"/>
      <c r="G34" s="80" t="s">
        <v>307</v>
      </c>
      <c r="H34" s="42"/>
      <c r="I34" s="43"/>
      <c r="J34" s="73"/>
      <c r="K34" s="76">
        <f>TRUNC(ROUND(+K32+K33,2),2)</f>
        <v>54.48</v>
      </c>
      <c r="L34" s="77" t="s">
        <v>303</v>
      </c>
    </row>
    <row r="43" spans="1:12">
      <c r="B43" s="10" t="s">
        <v>308</v>
      </c>
      <c r="H43" s="10" t="s">
        <v>288</v>
      </c>
    </row>
  </sheetData>
  <sheetProtection sheet="1" objects="1" scenarios="1"/>
  <mergeCells count="10">
    <mergeCell ref="H12:I12"/>
    <mergeCell ref="J12:K12"/>
    <mergeCell ref="B14:C14"/>
    <mergeCell ref="B28:C28"/>
    <mergeCell ref="J1:K1"/>
    <mergeCell ref="J2:K2"/>
    <mergeCell ref="J3:K3"/>
    <mergeCell ref="J4:K4"/>
    <mergeCell ref="H11:I11"/>
    <mergeCell ref="J11:K11"/>
  </mergeCells>
  <pageMargins left="0.62992125984251968" right="0.23622047244094491" top="0.74803149606299213" bottom="0.74803149606299213" header="0.31496062992125984" footer="0.31496062992125984"/>
  <pageSetup paperSize="9" orientation="portrait" horizontalDpi="4294967293" vertic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BE16-23B8-4C32-8C86-218233B6B5F3}">
  <sheetPr codeName="Sheet10"/>
  <dimension ref="A1:L43"/>
  <sheetViews>
    <sheetView zoomScaleNormal="100" workbookViewId="0">
      <selection activeCell="J1" sqref="J1:K1"/>
    </sheetView>
  </sheetViews>
  <sheetFormatPr defaultRowHeight="14.45"/>
  <cols>
    <col min="1" max="1" width="3.28515625" style="9" customWidth="1"/>
    <col min="2" max="2" width="14.28515625" style="10" customWidth="1"/>
    <col min="3" max="3" width="15.5703125" style="10" customWidth="1"/>
    <col min="4" max="4" width="5.140625" style="10" bestFit="1" customWidth="1"/>
    <col min="5" max="5" width="5.140625" style="10" customWidth="1"/>
    <col min="6" max="6" width="5.5703125" style="10" customWidth="1"/>
    <col min="7" max="7" width="8" style="10" customWidth="1"/>
    <col min="8" max="8" width="3.7109375" style="10" customWidth="1"/>
    <col min="9" max="9" width="5.7109375" style="29" customWidth="1"/>
    <col min="10" max="10" width="7.42578125" style="10" customWidth="1"/>
    <col min="11" max="11" width="10.28515625" style="10" customWidth="1"/>
    <col min="12" max="12" width="3.42578125" style="10" customWidth="1"/>
  </cols>
  <sheetData>
    <row r="1" spans="1:12">
      <c r="G1" s="82" t="s">
        <v>278</v>
      </c>
      <c r="H1" s="82"/>
      <c r="I1" s="11"/>
      <c r="J1" s="204">
        <f>'Za KIF-a'!E6</f>
        <v>22190</v>
      </c>
      <c r="K1" s="204"/>
    </row>
    <row r="2" spans="1:12">
      <c r="G2" s="81" t="s">
        <v>279</v>
      </c>
      <c r="H2" s="81"/>
      <c r="I2" s="11"/>
      <c r="J2" s="194">
        <f>'Za KIF-a'!D6</f>
        <v>1203</v>
      </c>
      <c r="K2" s="194"/>
    </row>
    <row r="3" spans="1:12">
      <c r="G3" s="81" t="s">
        <v>212</v>
      </c>
      <c r="H3" s="81"/>
      <c r="I3" s="13"/>
      <c r="J3" s="195">
        <f ca="1">'Za KIF-a'!L1</f>
        <v>44635</v>
      </c>
      <c r="K3" s="195"/>
    </row>
    <row r="4" spans="1:12">
      <c r="G4" s="81" t="s">
        <v>214</v>
      </c>
      <c r="H4" s="81"/>
      <c r="I4" s="13"/>
      <c r="J4" s="195">
        <f ca="1">'Za KIF-a'!L2</f>
        <v>44636</v>
      </c>
      <c r="K4" s="195"/>
    </row>
    <row r="5" spans="1:12">
      <c r="G5" s="81" t="s">
        <v>280</v>
      </c>
      <c r="H5" s="81"/>
      <c r="I5" s="13"/>
      <c r="J5" s="14" t="str">
        <f>VLOOKUP($C$12,kupci!$A:$J,7,FALSE)</f>
        <v>7 dana</v>
      </c>
      <c r="K5" s="14"/>
    </row>
    <row r="6" spans="1:12">
      <c r="B6" s="15" t="s">
        <v>281</v>
      </c>
      <c r="C6" s="16"/>
      <c r="D6" s="15"/>
      <c r="E6" s="16"/>
      <c r="F6" s="16" t="s">
        <v>282</v>
      </c>
      <c r="G6" s="16"/>
      <c r="H6" s="16"/>
      <c r="I6" s="16"/>
      <c r="J6" s="17"/>
      <c r="K6" s="16"/>
    </row>
    <row r="7" spans="1:12">
      <c r="B7" s="15" t="s">
        <v>283</v>
      </c>
      <c r="C7" s="16"/>
      <c r="D7" s="15"/>
      <c r="E7" s="16"/>
      <c r="F7" s="16" t="s">
        <v>284</v>
      </c>
      <c r="G7" s="16"/>
      <c r="H7" s="16"/>
      <c r="I7" s="16"/>
      <c r="J7" s="17"/>
      <c r="K7" s="16"/>
    </row>
    <row r="8" spans="1:12">
      <c r="B8" s="15" t="s">
        <v>14</v>
      </c>
      <c r="C8" s="16"/>
      <c r="D8" s="15"/>
      <c r="E8" s="16"/>
      <c r="F8" s="15" t="s">
        <v>285</v>
      </c>
      <c r="G8" s="16"/>
      <c r="H8" s="16"/>
      <c r="I8" s="16"/>
      <c r="J8" s="17"/>
      <c r="K8" s="16"/>
    </row>
    <row r="9" spans="1:12">
      <c r="B9" s="18" t="s">
        <v>286</v>
      </c>
      <c r="C9" s="19"/>
      <c r="D9" s="18"/>
      <c r="E9" s="19"/>
      <c r="F9" s="20" t="s">
        <v>287</v>
      </c>
      <c r="G9" s="19"/>
      <c r="H9" s="19"/>
      <c r="I9" s="19"/>
      <c r="J9" s="21"/>
      <c r="K9" s="19"/>
    </row>
    <row r="10" spans="1:12">
      <c r="B10" s="22" t="s">
        <v>288</v>
      </c>
      <c r="C10" s="28" t="str">
        <f>VLOOKUP($C$12,kupci!$A:$J,2,FALSE)</f>
        <v>Zelenara trgovinska radnja</v>
      </c>
      <c r="D10" s="24"/>
      <c r="E10" s="24"/>
      <c r="F10" s="23"/>
      <c r="G10" s="25"/>
      <c r="H10" s="25"/>
      <c r="I10" s="26"/>
      <c r="J10" s="25"/>
      <c r="K10" s="25"/>
    </row>
    <row r="11" spans="1:12">
      <c r="B11" s="27" t="s">
        <v>289</v>
      </c>
      <c r="C11" s="28" t="str">
        <f>VLOOKUP($C$12,kupci!$A:$J,3,FALSE)</f>
        <v>I.Sarajevo 71123</v>
      </c>
      <c r="D11" s="28"/>
      <c r="E11" s="28"/>
      <c r="F11" s="28"/>
      <c r="H11" s="200" t="str">
        <f>IF(J11="*", "",  "PDV broj")</f>
        <v>PDV broj</v>
      </c>
      <c r="I11" s="200"/>
      <c r="J11" s="198">
        <f>VLOOKUP($C$12,kupci!$A:$J,4,FALSE)</f>
        <v>507894200008</v>
      </c>
      <c r="K11" s="198"/>
    </row>
    <row r="12" spans="1:12">
      <c r="B12" s="27" t="s">
        <v>290</v>
      </c>
      <c r="C12" s="23" t="str">
        <f>'Za fakturisanje'!J$2</f>
        <v>Zelenara, Svetosavska 19</v>
      </c>
      <c r="D12" s="28"/>
      <c r="E12" s="28"/>
      <c r="F12" s="28"/>
      <c r="H12" s="201" t="str">
        <f>IF(J12="*", "",  "ID broj")</f>
        <v>ID broj</v>
      </c>
      <c r="I12" s="201"/>
      <c r="J12" s="199">
        <f>VLOOKUP($C$12,kupci!$A:$J,5,FALSE)</f>
        <v>4507894200008</v>
      </c>
      <c r="K12" s="199"/>
    </row>
    <row r="13" spans="1:12">
      <c r="C13" s="9"/>
      <c r="D13" s="9"/>
      <c r="K13" s="10" t="s">
        <v>291</v>
      </c>
    </row>
    <row r="14" spans="1:12" s="35" customFormat="1" ht="39.6" customHeight="1">
      <c r="A14" s="54" t="s">
        <v>292</v>
      </c>
      <c r="B14" s="202" t="s">
        <v>293</v>
      </c>
      <c r="C14" s="203"/>
      <c r="D14" s="30" t="s">
        <v>294</v>
      </c>
      <c r="E14" s="55" t="s">
        <v>295</v>
      </c>
      <c r="F14" s="30" t="s">
        <v>296</v>
      </c>
      <c r="G14" s="30" t="s">
        <v>297</v>
      </c>
      <c r="H14" s="61" t="s">
        <v>298</v>
      </c>
      <c r="I14" s="30" t="s">
        <v>299</v>
      </c>
      <c r="J14" s="30" t="s">
        <v>300</v>
      </c>
      <c r="K14" s="30" t="s">
        <v>301</v>
      </c>
      <c r="L14" s="56"/>
    </row>
    <row r="15" spans="1:12">
      <c r="A15" s="31" t="str">
        <f>IF(B15="","","1")</f>
        <v>1</v>
      </c>
      <c r="B15" s="79" t="str">
        <f t="array" ref="B15">IFERROR(INDEX('Za fakturisanje'!$B$1:$B$50,SMALL(IF(ISNUMBER('Za fakturisanje'!$J$1:$J$50),ROW('Za fakturisanje'!$J$1:$J$50)),ROW(E1))),"")</f>
        <v>svježe klice Alfalfa          D 17464</v>
      </c>
      <c r="C15" s="46"/>
      <c r="D15" s="88" t="str">
        <f t="array" ref="D15">IFERROR(INDEX('Za fakturisanje'!$C$1:$C$50,SMALL(IF(ISNUMBER('Za fakturisanje'!$J$1:$J$50),ROW('Za fakturisanje'!$J$1:$J$50)),ROW(E1))),"")</f>
        <v>kom</v>
      </c>
      <c r="E15" s="31">
        <f t="array" ref="E15">IFERROR(INDEX('Za fakturisanje'!$J$1:$J$50,SMALL(IF(ISNUMBER('Za fakturisanje'!$J$1:$J$50),ROW('Za fakturisanje'!$J$1:$J$50)),ROW(E1))),"")</f>
        <v>1</v>
      </c>
      <c r="F15" s="41">
        <f t="array" ref="F15">IFERROR(INDEX('Za fakturisanje'!$E$1:$E$50,SMALL(IF(ISNUMBER('Za fakturisanje'!$J$1:$J$50),ROW('Za fakturisanje'!$J$1:$J$50)),ROW(E1))),"")</f>
        <v>2.75</v>
      </c>
      <c r="G15" s="33">
        <f>IF(E15="", "",+E15*F15)</f>
        <v>2.75</v>
      </c>
      <c r="H15" s="31"/>
      <c r="I15" s="41">
        <f>IF(B15="","",G15*H15/100)</f>
        <v>0</v>
      </c>
      <c r="J15" s="33">
        <f>IF(B15="", "",+G15-I15)</f>
        <v>2.75</v>
      </c>
      <c r="K15" s="33">
        <f>IF(B15="", "",+J15*1.17)</f>
        <v>3.2174999999999998</v>
      </c>
    </row>
    <row r="16" spans="1:12">
      <c r="A16" s="31" t="str">
        <f>IF(B16="","","2")</f>
        <v>2</v>
      </c>
      <c r="B16" s="79" t="str">
        <f t="array" ref="B16">IFERROR(INDEX('Za fakturisanje'!$B$1:$B$50,SMALL(IF(ISNUMBER('Za fakturisanje'!$J$1:$J$50),ROW('Za fakturisanje'!$J$1:$J$50)),ROW(E2))),"")</f>
        <v>svježe klice mix 1           D 17465</v>
      </c>
      <c r="C16" s="46"/>
      <c r="D16" s="88" t="str">
        <f t="array" ref="D16">IFERROR(INDEX('Za fakturisanje'!$C$1:$C$50,SMALL(IF(ISNUMBER('Za fakturisanje'!$J$1:$J$50),ROW('Za fakturisanje'!$J$1:$J$50)),ROW(E2))),"")</f>
        <v>kom</v>
      </c>
      <c r="E16" s="31">
        <f t="array" ref="E16">IFERROR(INDEX('Za fakturisanje'!$J$1:$J$50,SMALL(IF(ISNUMBER('Za fakturisanje'!$J$1:$J$50),ROW('Za fakturisanje'!$J$1:$J$50)),ROW(E2))),"")</f>
        <v>1</v>
      </c>
      <c r="F16" s="41">
        <f t="array" ref="F16">IFERROR(INDEX('Za fakturisanje'!$E$1:$E$50,SMALL(IF(ISNUMBER('Za fakturisanje'!$J$1:$J$50),ROW('Za fakturisanje'!$J$1:$J$50)),ROW(E2))),"")</f>
        <v>2.75</v>
      </c>
      <c r="G16" s="33">
        <f t="shared" ref="G16:G27" si="0">IF(E16="", "",+E16*F16)</f>
        <v>2.75</v>
      </c>
      <c r="H16" s="31"/>
      <c r="I16" s="41">
        <f t="shared" ref="I16:I27" si="1">IF(B16="","",G16*H16/100)</f>
        <v>0</v>
      </c>
      <c r="J16" s="33">
        <f t="shared" ref="J16:J27" si="2">IF(B16="", "",+G16-I16)</f>
        <v>2.75</v>
      </c>
      <c r="K16" s="33">
        <f t="shared" ref="K16:K27" si="3">IF(B16="", "",+J16*1.17)</f>
        <v>3.2174999999999998</v>
      </c>
    </row>
    <row r="17" spans="1:12">
      <c r="A17" s="31" t="str">
        <f>IF(B17="","","3")</f>
        <v>3</v>
      </c>
      <c r="B17" s="79" t="str">
        <f t="array" ref="B17">IFERROR(INDEX('Za fakturisanje'!$B$1:$B$50,SMALL(IF(ISNUMBER('Za fakturisanje'!$J$1:$J$50),ROW('Za fakturisanje'!$J$1:$J$50)),ROW(E3))),"")</f>
        <v>svježe klice mix 2           D 17466</v>
      </c>
      <c r="C17" s="46"/>
      <c r="D17" s="88" t="str">
        <f t="array" ref="D17">IFERROR(INDEX('Za fakturisanje'!$C$1:$C$50,SMALL(IF(ISNUMBER('Za fakturisanje'!$J$1:$J$50),ROW('Za fakturisanje'!$J$1:$J$50)),ROW(E3))),"")</f>
        <v>kom</v>
      </c>
      <c r="E17" s="31">
        <f t="array" ref="E17">IFERROR(INDEX('Za fakturisanje'!$J$1:$J$50,SMALL(IF(ISNUMBER('Za fakturisanje'!$J$1:$J$50),ROW('Za fakturisanje'!$J$1:$J$50)),ROW(E3))),"")</f>
        <v>2</v>
      </c>
      <c r="F17" s="41">
        <f t="array" ref="F17">IFERROR(INDEX('Za fakturisanje'!$E$1:$E$50,SMALL(IF(ISNUMBER('Za fakturisanje'!$J$1:$J$50),ROW('Za fakturisanje'!$J$1:$J$50)),ROW(E3))),"")</f>
        <v>2.75</v>
      </c>
      <c r="G17" s="33">
        <f t="shared" si="0"/>
        <v>5.5</v>
      </c>
      <c r="H17" s="31"/>
      <c r="I17" s="41">
        <f t="shared" si="1"/>
        <v>0</v>
      </c>
      <c r="J17" s="33">
        <f t="shared" si="2"/>
        <v>5.5</v>
      </c>
      <c r="K17" s="33">
        <f t="shared" si="3"/>
        <v>6.4349999999999996</v>
      </c>
    </row>
    <row r="18" spans="1:12">
      <c r="A18" s="31" t="str">
        <f>IF(B18="","","4")</f>
        <v>4</v>
      </c>
      <c r="B18" s="79" t="str">
        <f t="array" ref="B18">IFERROR(INDEX('Za fakturisanje'!$B$1:$B$50,SMALL(IF(ISNUMBER('Za fakturisanje'!$J$1:$J$50),ROW('Za fakturisanje'!$J$1:$J$50)),ROW(E4))),"")</f>
        <v>svježe klice mix 3           D 17467</v>
      </c>
      <c r="C18" s="46"/>
      <c r="D18" s="88" t="str">
        <f t="array" ref="D18">IFERROR(INDEX('Za fakturisanje'!$C$1:$C$50,SMALL(IF(ISNUMBER('Za fakturisanje'!$J$1:$J$50),ROW('Za fakturisanje'!$J$1:$J$50)),ROW(E4))),"")</f>
        <v>kom</v>
      </c>
      <c r="E18" s="31">
        <f t="array" ref="E18">IFERROR(INDEX('Za fakturisanje'!$J$1:$J$50,SMALL(IF(ISNUMBER('Za fakturisanje'!$J$1:$J$50),ROW('Za fakturisanje'!$J$1:$J$50)),ROW(E4))),"")</f>
        <v>1</v>
      </c>
      <c r="F18" s="41">
        <f t="array" ref="F18">IFERROR(INDEX('Za fakturisanje'!$E$1:$E$50,SMALL(IF(ISNUMBER('Za fakturisanje'!$J$1:$J$50),ROW('Za fakturisanje'!$J$1:$J$50)),ROW(E4))),"")</f>
        <v>2.75</v>
      </c>
      <c r="G18" s="33">
        <f t="shared" si="0"/>
        <v>2.75</v>
      </c>
      <c r="H18" s="31"/>
      <c r="I18" s="41">
        <f t="shared" si="1"/>
        <v>0</v>
      </c>
      <c r="J18" s="33">
        <f t="shared" si="2"/>
        <v>2.75</v>
      </c>
      <c r="K18" s="33">
        <f t="shared" si="3"/>
        <v>3.2174999999999998</v>
      </c>
    </row>
    <row r="19" spans="1:12">
      <c r="A19" s="31" t="str">
        <f>IF(B19="","","5")</f>
        <v>5</v>
      </c>
      <c r="B19" s="79" t="str">
        <f t="array" ref="B19">IFERROR(INDEX('Za fakturisanje'!$B$1:$B$50,SMALL(IF(ISNUMBER('Za fakturisanje'!$J$1:$J$50),ROW('Za fakturisanje'!$J$1:$J$50)),ROW(E5))),"")</f>
        <v>mikropovrće Brokula     J 13769</v>
      </c>
      <c r="C19" s="53"/>
      <c r="D19" s="88" t="str">
        <f t="array" ref="D19">IFERROR(INDEX('Za fakturisanje'!$C$1:$C$50,SMALL(IF(ISNUMBER('Za fakturisanje'!$J$1:$J$50),ROW('Za fakturisanje'!$J$1:$J$50)),ROW(E5))),"")</f>
        <v>kom</v>
      </c>
      <c r="E19" s="31">
        <f t="array" ref="E19">IFERROR(INDEX('Za fakturisanje'!$J$1:$J$50,SMALL(IF(ISNUMBER('Za fakturisanje'!$J$1:$J$50),ROW('Za fakturisanje'!$J$1:$J$50)),ROW(E5))),"")</f>
        <v>3</v>
      </c>
      <c r="F19" s="41">
        <f t="array" ref="F19">IFERROR(INDEX('Za fakturisanje'!$E$1:$E$50,SMALL(IF(ISNUMBER('Za fakturisanje'!$J$1:$J$50),ROW('Za fakturisanje'!$J$1:$J$50)),ROW(E5))),"")</f>
        <v>3.07</v>
      </c>
      <c r="G19" s="33">
        <f t="shared" si="0"/>
        <v>9.2099999999999991</v>
      </c>
      <c r="H19" s="31"/>
      <c r="I19" s="41">
        <f t="shared" si="1"/>
        <v>0</v>
      </c>
      <c r="J19" s="33">
        <f t="shared" si="2"/>
        <v>9.2099999999999991</v>
      </c>
      <c r="K19" s="33">
        <f t="shared" si="3"/>
        <v>10.775699999999999</v>
      </c>
    </row>
    <row r="20" spans="1:12">
      <c r="A20" s="31" t="str">
        <f>IF(B20="","","6")</f>
        <v>6</v>
      </c>
      <c r="B20" s="79" t="str">
        <f t="array" ref="B20">IFERROR(INDEX('Za fakturisanje'!$B$1:$B$50,SMALL(IF(ISNUMBER('Za fakturisanje'!$J$1:$J$50),ROW('Za fakturisanje'!$J$1:$J$50)),ROW(E6))),"")</f>
        <v>mikropovrće mix1          J 13770</v>
      </c>
      <c r="C20" s="48"/>
      <c r="D20" s="88" t="str">
        <f t="array" ref="D20">IFERROR(INDEX('Za fakturisanje'!$C$1:$C$50,SMALL(IF(ISNUMBER('Za fakturisanje'!$J$1:$J$50),ROW('Za fakturisanje'!$J$1:$J$50)),ROW(E6))),"")</f>
        <v>kom</v>
      </c>
      <c r="E20" s="31">
        <f t="array" ref="E20">IFERROR(INDEX('Za fakturisanje'!$J$1:$J$50,SMALL(IF(ISNUMBER('Za fakturisanje'!$J$1:$J$50),ROW('Za fakturisanje'!$J$1:$J$50)),ROW(E6))),"")</f>
        <v>3</v>
      </c>
      <c r="F20" s="41">
        <f t="array" ref="F20">IFERROR(INDEX('Za fakturisanje'!$E$1:$E$50,SMALL(IF(ISNUMBER('Za fakturisanje'!$J$1:$J$50),ROW('Za fakturisanje'!$J$1:$J$50)),ROW(E6))),"")</f>
        <v>3.07</v>
      </c>
      <c r="G20" s="33">
        <f t="shared" si="0"/>
        <v>9.2099999999999991</v>
      </c>
      <c r="H20" s="31"/>
      <c r="I20" s="41">
        <f t="shared" si="1"/>
        <v>0</v>
      </c>
      <c r="J20" s="33">
        <f t="shared" si="2"/>
        <v>9.2099999999999991</v>
      </c>
      <c r="K20" s="33">
        <f t="shared" si="3"/>
        <v>10.775699999999999</v>
      </c>
    </row>
    <row r="21" spans="1:12">
      <c r="A21" s="31" t="str">
        <f>IF(B21="","","7")</f>
        <v>7</v>
      </c>
      <c r="B21" s="79" t="str">
        <f t="array" ref="B21">IFERROR(INDEX('Za fakturisanje'!$B$1:$B$50,SMALL(IF(ISNUMBER('Za fakturisanje'!$J$1:$J$50),ROW('Za fakturisanje'!$J$1:$J$50)),ROW(E7))),"")</f>
        <v>mikropovrće mix2          J 13771</v>
      </c>
      <c r="C21" s="49"/>
      <c r="D21" s="88" t="str">
        <f t="array" ref="D21">IFERROR(INDEX('Za fakturisanje'!$C$1:$C$50,SMALL(IF(ISNUMBER('Za fakturisanje'!$J$1:$J$50),ROW('Za fakturisanje'!$J$1:$J$50)),ROW(E7))),"")</f>
        <v>kom</v>
      </c>
      <c r="E21" s="31">
        <f t="array" ref="E21">IFERROR(INDEX('Za fakturisanje'!$J$1:$J$50,SMALL(IF(ISNUMBER('Za fakturisanje'!$J$1:$J$50),ROW('Za fakturisanje'!$J$1:$J$50)),ROW(E7))),"")</f>
        <v>2</v>
      </c>
      <c r="F21" s="41">
        <f t="array" ref="F21">IFERROR(INDEX('Za fakturisanje'!$E$1:$E$50,SMALL(IF(ISNUMBER('Za fakturisanje'!$J$1:$J$50),ROW('Za fakturisanje'!$J$1:$J$50)),ROW(E7))),"")</f>
        <v>3.07</v>
      </c>
      <c r="G21" s="33">
        <f t="shared" si="0"/>
        <v>6.14</v>
      </c>
      <c r="H21" s="31"/>
      <c r="I21" s="41">
        <f t="shared" si="1"/>
        <v>0</v>
      </c>
      <c r="J21" s="33">
        <f t="shared" si="2"/>
        <v>6.14</v>
      </c>
      <c r="K21" s="33">
        <f t="shared" si="3"/>
        <v>7.1837999999999989</v>
      </c>
    </row>
    <row r="22" spans="1:12">
      <c r="A22" s="31" t="str">
        <f>IF(B22="","","8")</f>
        <v>8</v>
      </c>
      <c r="B22" s="79" t="str">
        <f t="array" ref="B22">IFERROR(INDEX('Za fakturisanje'!$B$1:$B$50,SMALL(IF(ISNUMBER('Za fakturisanje'!$J$1:$J$50),ROW('Za fakturisanje'!$J$1:$J$50)),ROW(E8))),"")</f>
        <v>Kikiriki puter 300 g</v>
      </c>
      <c r="C22" s="49"/>
      <c r="D22" s="88" t="str">
        <f t="array" ref="D22">IFERROR(INDEX('Za fakturisanje'!$C$1:$C$50,SMALL(IF(ISNUMBER('Za fakturisanje'!$J$1:$J$50),ROW('Za fakturisanje'!$J$1:$J$50)),ROW(E8))),"")</f>
        <v>kom</v>
      </c>
      <c r="E22" s="31">
        <f t="array" ref="E22">IFERROR(INDEX('Za fakturisanje'!$J$1:$J$50,SMALL(IF(ISNUMBER('Za fakturisanje'!$J$1:$J$50),ROW('Za fakturisanje'!$J$1:$J$50)),ROW(E8))),"")</f>
        <v>6</v>
      </c>
      <c r="F22" s="41">
        <f t="array" ref="F22">IFERROR(INDEX('Za fakturisanje'!$E$1:$E$50,SMALL(IF(ISNUMBER('Za fakturisanje'!$J$1:$J$50),ROW('Za fakturisanje'!$J$1:$J$50)),ROW(E8))),"")</f>
        <v>3.2</v>
      </c>
      <c r="G22" s="33">
        <f t="shared" si="0"/>
        <v>19.200000000000003</v>
      </c>
      <c r="H22" s="31"/>
      <c r="I22" s="41">
        <f t="shared" si="1"/>
        <v>0</v>
      </c>
      <c r="J22" s="33">
        <f t="shared" si="2"/>
        <v>19.200000000000003</v>
      </c>
      <c r="K22" s="33">
        <f t="shared" si="3"/>
        <v>22.464000000000002</v>
      </c>
    </row>
    <row r="23" spans="1:12">
      <c r="A23" s="31" t="str">
        <f>IF(B23="","","9")</f>
        <v>9</v>
      </c>
      <c r="B23" s="79" t="str">
        <f t="array" ref="B23">IFERROR(INDEX('Za fakturisanje'!$B$1:$B$50,SMALL(IF(ISNUMBER('Za fakturisanje'!$J$1:$J$50),ROW('Za fakturisanje'!$J$1:$J$50)),ROW(E9))),"")</f>
        <v>Kikiriki puter 200 g</v>
      </c>
      <c r="C23" s="51"/>
      <c r="D23" s="88" t="str">
        <f t="array" ref="D23">IFERROR(INDEX('Za fakturisanje'!$C$1:$C$50,SMALL(IF(ISNUMBER('Za fakturisanje'!$J$1:$J$50),ROW('Za fakturisanje'!$J$1:$J$50)),ROW(E9))),"")</f>
        <v>kom</v>
      </c>
      <c r="E23" s="31">
        <f t="array" ref="E23">IFERROR(INDEX('Za fakturisanje'!$J$1:$J$50,SMALL(IF(ISNUMBER('Za fakturisanje'!$J$1:$J$50),ROW('Za fakturisanje'!$J$1:$J$50)),ROW(E9))),"")</f>
        <v>8</v>
      </c>
      <c r="F23" s="41">
        <f t="array" ref="F23">IFERROR(INDEX('Za fakturisanje'!$E$1:$E$50,SMALL(IF(ISNUMBER('Za fakturisanje'!$J$1:$J$50),ROW('Za fakturisanje'!$J$1:$J$50)),ROW(E9))),"")</f>
        <v>2.5</v>
      </c>
      <c r="G23" s="33">
        <f t="shared" si="0"/>
        <v>20</v>
      </c>
      <c r="H23" s="31"/>
      <c r="I23" s="41">
        <f t="shared" si="1"/>
        <v>0</v>
      </c>
      <c r="J23" s="33">
        <f t="shared" si="2"/>
        <v>20</v>
      </c>
      <c r="K23" s="33">
        <f t="shared" si="3"/>
        <v>23.4</v>
      </c>
    </row>
    <row r="24" spans="1:12">
      <c r="A24" s="31" t="str">
        <f>IF(B24="","","10")</f>
        <v/>
      </c>
      <c r="B24" s="79" t="str">
        <f t="array" ref="B24">IFERROR(INDEX('Za fakturisanje'!$B$1:$B$50,SMALL(IF(ISNUMBER('Za fakturisanje'!$J$1:$J$50),ROW('Za fakturisanje'!$J$1:$J$50)),ROW(E10))),"")</f>
        <v/>
      </c>
      <c r="C24" s="52"/>
      <c r="D24" s="88" t="str">
        <f t="array" ref="D24">IFERROR(INDEX('Za fakturisanje'!$C$1:$C$50,SMALL(IF(ISNUMBER('Za fakturisanje'!$J$1:$J$50),ROW('Za fakturisanje'!$J$1:$J$50)),ROW(E10))),"")</f>
        <v/>
      </c>
      <c r="E24" s="31" t="str">
        <f t="array" ref="E24">IFERROR(INDEX('Za fakturisanje'!$J$1:$J$50,SMALL(IF(ISNUMBER('Za fakturisanje'!$J$1:$J$50),ROW('Za fakturisanje'!$J$1:$J$50)),ROW(E10))),"")</f>
        <v/>
      </c>
      <c r="F24" s="41" t="str">
        <f t="array" ref="F24">IFERROR(INDEX('Za fakturisanje'!$E$1:$E$50,SMALL(IF(ISNUMBER('Za fakturisanje'!$J$1:$J$50),ROW('Za fakturisanje'!$J$1:$J$50)),ROW(E10))),"")</f>
        <v/>
      </c>
      <c r="G24" s="33" t="str">
        <f t="shared" si="0"/>
        <v/>
      </c>
      <c r="H24" s="31" t="str">
        <f>IF(B24="","",VLOOKUP($C$12,kupci!$A:$J,6,FALSE))</f>
        <v/>
      </c>
      <c r="I24" s="41" t="str">
        <f t="shared" si="1"/>
        <v/>
      </c>
      <c r="J24" s="33" t="str">
        <f t="shared" si="2"/>
        <v/>
      </c>
      <c r="K24" s="33" t="str">
        <f t="shared" si="3"/>
        <v/>
      </c>
    </row>
    <row r="25" spans="1:12">
      <c r="A25" s="31" t="str">
        <f>IF(B25="","","11")</f>
        <v/>
      </c>
      <c r="B25" s="79" t="str">
        <f t="array" ref="B25">IFERROR(INDEX('Za fakturisanje'!$B$1:$B$50,SMALL(IF(ISNUMBER('Za fakturisanje'!$J$1:$J$50),ROW('Za fakturisanje'!$J$1:$J$50)),ROW(E11))),"")</f>
        <v/>
      </c>
      <c r="C25" s="48"/>
      <c r="D25" s="88" t="str">
        <f t="array" ref="D25">IFERROR(INDEX('Za fakturisanje'!$C$1:$C$50,SMALL(IF(ISNUMBER('Za fakturisanje'!$J$1:$J$50),ROW('Za fakturisanje'!$J$1:$J$50)),ROW(E11))),"")</f>
        <v/>
      </c>
      <c r="E25" s="31" t="str">
        <f t="array" ref="E25">IFERROR(INDEX('Za fakturisanje'!$J$1:$J$50,SMALL(IF(ISNUMBER('Za fakturisanje'!$J$1:$J$50),ROW('Za fakturisanje'!$J$1:$J$50)),ROW(E11))),"")</f>
        <v/>
      </c>
      <c r="F25" s="41" t="str">
        <f t="array" ref="F25">IFERROR(INDEX('Za fakturisanje'!$E$1:$E$50,SMALL(IF(ISNUMBER('Za fakturisanje'!$J$1:$J$50),ROW('Za fakturisanje'!$J$1:$J$50)),ROW(E11))),"")</f>
        <v/>
      </c>
      <c r="G25" s="33" t="str">
        <f t="shared" si="0"/>
        <v/>
      </c>
      <c r="H25" s="31" t="str">
        <f>IF(B25="","",VLOOKUP($C$12,kupci!$A:$J,6,FALSE))</f>
        <v/>
      </c>
      <c r="I25" s="41" t="str">
        <f t="shared" si="1"/>
        <v/>
      </c>
      <c r="J25" s="33" t="str">
        <f t="shared" si="2"/>
        <v/>
      </c>
      <c r="K25" s="33" t="str">
        <f t="shared" si="3"/>
        <v/>
      </c>
    </row>
    <row r="26" spans="1:12">
      <c r="A26" s="31" t="str">
        <f>IF(B26="","","12")</f>
        <v/>
      </c>
      <c r="B26" s="79" t="str">
        <f t="array" ref="B26">IFERROR(INDEX('Za fakturisanje'!$B$1:$B$50,SMALL(IF(ISNUMBER('Za fakturisanje'!$J$1:$J$50),ROW('Za fakturisanje'!$J$1:$J$50)),ROW(E12))),"")</f>
        <v/>
      </c>
      <c r="C26" s="49"/>
      <c r="D26" s="88" t="str">
        <f t="array" ref="D26">IFERROR(INDEX('Za fakturisanje'!$C$1:$C$50,SMALL(IF(ISNUMBER('Za fakturisanje'!$J$1:$J$50),ROW('Za fakturisanje'!$J$1:$J$50)),ROW(E12))),"")</f>
        <v/>
      </c>
      <c r="E26" s="31" t="str">
        <f t="array" ref="E26">IFERROR(INDEX('Za fakturisanje'!$J$1:$J$50,SMALL(IF(ISNUMBER('Za fakturisanje'!$J$1:$J$50),ROW('Za fakturisanje'!$J$1:$J$50)),ROW(E12))),"")</f>
        <v/>
      </c>
      <c r="F26" s="41" t="str">
        <f t="array" ref="F26">IFERROR(INDEX('Za fakturisanje'!$E$1:$E$50,SMALL(IF(ISNUMBER('Za fakturisanje'!$J$1:$J$50),ROW('Za fakturisanje'!$J$1:$J$50)),ROW(E12))),"")</f>
        <v/>
      </c>
      <c r="G26" s="33" t="str">
        <f t="shared" si="0"/>
        <v/>
      </c>
      <c r="H26" s="31" t="str">
        <f>IF(B26="","",VLOOKUP($C$12,kupci!$A:$J,6,FALSE))</f>
        <v/>
      </c>
      <c r="I26" s="41" t="str">
        <f t="shared" si="1"/>
        <v/>
      </c>
      <c r="J26" s="33" t="str">
        <f t="shared" si="2"/>
        <v/>
      </c>
      <c r="K26" s="33" t="str">
        <f t="shared" si="3"/>
        <v/>
      </c>
    </row>
    <row r="27" spans="1:12">
      <c r="A27" s="31" t="str">
        <f>IF(B27="","","13")</f>
        <v/>
      </c>
      <c r="B27" s="79" t="str">
        <f t="array" ref="B27">IFERROR(INDEX('Za fakturisanje'!$B$1:$B$50,SMALL(IF(ISNUMBER('Za fakturisanje'!$J$1:$J$50),ROW('Za fakturisanje'!$J$1:$J$50)),ROW(E13))),"")</f>
        <v/>
      </c>
      <c r="C27" s="50"/>
      <c r="D27" s="88" t="str">
        <f t="array" ref="D27">IFERROR(INDEX('Za fakturisanje'!$C$1:$C$50,SMALL(IF(ISNUMBER('Za fakturisanje'!$J$1:$J$50),ROW('Za fakturisanje'!$J$1:$J$50)),ROW(E13))),"")</f>
        <v/>
      </c>
      <c r="E27" s="31" t="str">
        <f t="array" ref="E27">IFERROR(INDEX('Za fakturisanje'!$J$1:$J$50,SMALL(IF(ISNUMBER('Za fakturisanje'!$J$1:$J$50),ROW('Za fakturisanje'!$J$1:$J$50)),ROW(E13))),"")</f>
        <v/>
      </c>
      <c r="F27" s="41" t="str">
        <f t="array" ref="F27">IFERROR(INDEX('Za fakturisanje'!$E$1:$E$50,SMALL(IF(ISNUMBER('Za fakturisanje'!$J$1:$J$50),ROW('Za fakturisanje'!$J$1:$J$50)),ROW(E13))),"")</f>
        <v/>
      </c>
      <c r="G27" s="33" t="str">
        <f t="shared" si="0"/>
        <v/>
      </c>
      <c r="H27" s="31" t="str">
        <f>IF(B27="","",VLOOKUP($C$12,kupci!$A:$J,6,FALSE))</f>
        <v/>
      </c>
      <c r="I27" s="41" t="str">
        <f t="shared" si="1"/>
        <v/>
      </c>
      <c r="J27" s="33" t="str">
        <f t="shared" si="2"/>
        <v/>
      </c>
      <c r="K27" s="33" t="str">
        <f t="shared" si="3"/>
        <v/>
      </c>
    </row>
    <row r="28" spans="1:12">
      <c r="A28" s="31"/>
      <c r="B28" s="196"/>
      <c r="C28" s="197"/>
      <c r="D28" s="32"/>
      <c r="E28" s="36">
        <f>SUM(E15:E27)</f>
        <v>27</v>
      </c>
      <c r="F28" s="34"/>
      <c r="G28" s="33">
        <f>SUM(G15:G27)</f>
        <v>77.510000000000005</v>
      </c>
      <c r="H28" s="36"/>
      <c r="I28" s="34">
        <f>SUM(I15:I27)</f>
        <v>0</v>
      </c>
      <c r="J28" s="34">
        <f>+G28-I28</f>
        <v>77.510000000000005</v>
      </c>
      <c r="K28" s="34">
        <f>+J28*1.17</f>
        <v>90.686700000000002</v>
      </c>
    </row>
    <row r="29" spans="1:12">
      <c r="A29" s="37"/>
      <c r="B29" s="38"/>
      <c r="C29" s="38"/>
      <c r="D29" s="38"/>
      <c r="E29" s="38"/>
      <c r="F29" s="38"/>
      <c r="G29" s="38"/>
      <c r="H29" s="38"/>
      <c r="I29" s="38"/>
      <c r="J29" s="39"/>
      <c r="K29" s="39"/>
    </row>
    <row r="30" spans="1:12">
      <c r="A30" s="37"/>
      <c r="B30" s="38"/>
      <c r="C30" s="38"/>
      <c r="D30" s="38"/>
      <c r="E30" s="38"/>
      <c r="F30" s="38"/>
      <c r="G30" s="78" t="s">
        <v>302</v>
      </c>
      <c r="H30" s="32"/>
      <c r="I30" s="40"/>
      <c r="J30" s="70"/>
      <c r="K30" s="72">
        <f>TRUNC(ROUND(+G28*1,2),2)</f>
        <v>77.510000000000005</v>
      </c>
      <c r="L30" s="74" t="s">
        <v>303</v>
      </c>
    </row>
    <row r="31" spans="1:12">
      <c r="A31" s="37"/>
      <c r="B31" s="38"/>
      <c r="C31" s="38"/>
      <c r="D31" s="38"/>
      <c r="E31" s="38"/>
      <c r="F31" s="38"/>
      <c r="G31" s="79" t="s">
        <v>304</v>
      </c>
      <c r="H31" s="67"/>
      <c r="I31" s="68"/>
      <c r="J31" s="69"/>
      <c r="K31" s="69">
        <f>TRUNC(ROUND(+I28*1,2),2)</f>
        <v>0</v>
      </c>
      <c r="L31" s="75" t="s">
        <v>303</v>
      </c>
    </row>
    <row r="32" spans="1:12">
      <c r="A32" s="37"/>
      <c r="B32" s="38"/>
      <c r="C32" s="38"/>
      <c r="D32" s="38"/>
      <c r="E32" s="38"/>
      <c r="F32" s="38"/>
      <c r="G32" s="78" t="s">
        <v>305</v>
      </c>
      <c r="H32" s="32"/>
      <c r="I32" s="71"/>
      <c r="J32" s="72"/>
      <c r="K32" s="72">
        <f>TRUNC(ROUND(+J28*1,2),2)</f>
        <v>77.510000000000005</v>
      </c>
      <c r="L32" s="74" t="s">
        <v>303</v>
      </c>
    </row>
    <row r="33" spans="1:12">
      <c r="A33" s="37"/>
      <c r="B33" s="38"/>
      <c r="C33" s="38"/>
      <c r="D33" s="38"/>
      <c r="E33" s="38"/>
      <c r="F33" s="38"/>
      <c r="G33" s="79" t="s">
        <v>306</v>
      </c>
      <c r="H33" s="67"/>
      <c r="I33" s="68"/>
      <c r="J33" s="69"/>
      <c r="K33" s="69">
        <f>TRUNC(ROUND(K28-J28,2),2)</f>
        <v>13.18</v>
      </c>
      <c r="L33" s="75" t="s">
        <v>303</v>
      </c>
    </row>
    <row r="34" spans="1:12" ht="15.6">
      <c r="B34" s="38"/>
      <c r="C34" s="38"/>
      <c r="D34" s="38"/>
      <c r="E34" s="38"/>
      <c r="F34" s="38"/>
      <c r="G34" s="80" t="s">
        <v>307</v>
      </c>
      <c r="H34" s="42"/>
      <c r="I34" s="43"/>
      <c r="J34" s="73"/>
      <c r="K34" s="76">
        <f>TRUNC(ROUND(+K32+K33,2),2)</f>
        <v>90.69</v>
      </c>
      <c r="L34" s="77" t="s">
        <v>303</v>
      </c>
    </row>
    <row r="43" spans="1:12">
      <c r="B43" s="10" t="s">
        <v>308</v>
      </c>
      <c r="H43" s="10" t="s">
        <v>288</v>
      </c>
    </row>
  </sheetData>
  <sheetProtection sheet="1" objects="1" scenarios="1"/>
  <mergeCells count="10">
    <mergeCell ref="H12:I12"/>
    <mergeCell ref="J12:K12"/>
    <mergeCell ref="B14:C14"/>
    <mergeCell ref="B28:C28"/>
    <mergeCell ref="J1:K1"/>
    <mergeCell ref="J2:K2"/>
    <mergeCell ref="J3:K3"/>
    <mergeCell ref="J4:K4"/>
    <mergeCell ref="H11:I11"/>
    <mergeCell ref="J11:K11"/>
  </mergeCells>
  <pageMargins left="0.62992125984251968" right="0.23622047244094491" top="0.74803149606299213" bottom="0.74803149606299213" header="0.31496062992125984" footer="0.31496062992125984"/>
  <pageSetup paperSize="9" orientation="portrait" horizontalDpi="4294967293" vertic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62659-124F-4CE0-BE22-1D99CAE7B0B1}">
  <sheetPr codeName="Sheet11"/>
  <dimension ref="A1:L43"/>
  <sheetViews>
    <sheetView zoomScaleNormal="100" workbookViewId="0">
      <selection activeCell="J1" sqref="J1:K1"/>
    </sheetView>
  </sheetViews>
  <sheetFormatPr defaultRowHeight="14.45"/>
  <cols>
    <col min="1" max="1" width="3.28515625" style="9" customWidth="1"/>
    <col min="2" max="2" width="14.28515625" style="10" customWidth="1"/>
    <col min="3" max="3" width="15.5703125" style="10" customWidth="1"/>
    <col min="4" max="4" width="5.140625" style="10" bestFit="1" customWidth="1"/>
    <col min="5" max="5" width="5.140625" style="10" customWidth="1"/>
    <col min="6" max="6" width="5.5703125" style="10" customWidth="1"/>
    <col min="7" max="7" width="8" style="10" customWidth="1"/>
    <col min="8" max="8" width="3.7109375" style="10" customWidth="1"/>
    <col min="9" max="9" width="5.7109375" style="29" customWidth="1"/>
    <col min="10" max="10" width="7.42578125" style="10" customWidth="1"/>
    <col min="11" max="11" width="10.28515625" style="10" customWidth="1"/>
    <col min="12" max="12" width="3.42578125" style="10" customWidth="1"/>
  </cols>
  <sheetData>
    <row r="1" spans="1:12">
      <c r="G1" s="82" t="s">
        <v>278</v>
      </c>
      <c r="H1" s="82"/>
      <c r="I1" s="11"/>
      <c r="J1" s="204">
        <f>'Za KIF-a'!E7</f>
        <v>22191</v>
      </c>
      <c r="K1" s="204"/>
    </row>
    <row r="2" spans="1:12">
      <c r="G2" s="81" t="s">
        <v>279</v>
      </c>
      <c r="H2" s="81"/>
      <c r="I2" s="11"/>
      <c r="J2" s="194">
        <f>'Za KIF-a'!D7</f>
        <v>1204</v>
      </c>
      <c r="K2" s="194"/>
    </row>
    <row r="3" spans="1:12">
      <c r="G3" s="81" t="s">
        <v>212</v>
      </c>
      <c r="H3" s="81"/>
      <c r="I3" s="13"/>
      <c r="J3" s="195">
        <f ca="1">'Za KIF-a'!L1</f>
        <v>44635</v>
      </c>
      <c r="K3" s="195"/>
    </row>
    <row r="4" spans="1:12">
      <c r="G4" s="81" t="s">
        <v>214</v>
      </c>
      <c r="H4" s="81"/>
      <c r="I4" s="13"/>
      <c r="J4" s="195">
        <f ca="1">'Za KIF-a'!L2</f>
        <v>44636</v>
      </c>
      <c r="K4" s="195"/>
    </row>
    <row r="5" spans="1:12">
      <c r="G5" s="81" t="s">
        <v>280</v>
      </c>
      <c r="H5" s="81"/>
      <c r="I5" s="13"/>
      <c r="J5" s="14" t="str">
        <f>VLOOKUP($C$12,kupci!$A:$J,7,FALSE)</f>
        <v>30 dana</v>
      </c>
      <c r="K5" s="14"/>
    </row>
    <row r="6" spans="1:12">
      <c r="B6" s="15" t="s">
        <v>281</v>
      </c>
      <c r="C6" s="16"/>
      <c r="D6" s="15"/>
      <c r="E6" s="16"/>
      <c r="F6" s="16" t="s">
        <v>282</v>
      </c>
      <c r="G6" s="16"/>
      <c r="H6" s="16"/>
      <c r="I6" s="16"/>
      <c r="J6" s="17"/>
      <c r="K6" s="16"/>
    </row>
    <row r="7" spans="1:12">
      <c r="B7" s="15" t="s">
        <v>283</v>
      </c>
      <c r="C7" s="16"/>
      <c r="D7" s="15"/>
      <c r="E7" s="16"/>
      <c r="F7" s="16" t="s">
        <v>284</v>
      </c>
      <c r="G7" s="16"/>
      <c r="H7" s="16"/>
      <c r="I7" s="16"/>
      <c r="J7" s="17"/>
      <c r="K7" s="16"/>
    </row>
    <row r="8" spans="1:12">
      <c r="B8" s="15" t="s">
        <v>14</v>
      </c>
      <c r="C8" s="16"/>
      <c r="D8" s="15"/>
      <c r="E8" s="16"/>
      <c r="F8" s="15" t="s">
        <v>285</v>
      </c>
      <c r="G8" s="16"/>
      <c r="H8" s="16"/>
      <c r="I8" s="16"/>
      <c r="J8" s="17"/>
      <c r="K8" s="16"/>
    </row>
    <row r="9" spans="1:12">
      <c r="B9" s="18" t="s">
        <v>286</v>
      </c>
      <c r="C9" s="19"/>
      <c r="D9" s="18"/>
      <c r="E9" s="19"/>
      <c r="F9" s="20" t="s">
        <v>287</v>
      </c>
      <c r="G9" s="19"/>
      <c r="H9" s="19"/>
      <c r="I9" s="19"/>
      <c r="J9" s="21"/>
      <c r="K9" s="19"/>
    </row>
    <row r="10" spans="1:12">
      <c r="B10" s="22" t="s">
        <v>288</v>
      </c>
      <c r="C10" s="28" t="str">
        <f>VLOOKUP($C$12,kupci!$A:$J,2,FALSE)</f>
        <v>BINGO d.o.o. Tuzla</v>
      </c>
      <c r="D10" s="24"/>
      <c r="E10" s="24"/>
      <c r="F10" s="23"/>
      <c r="G10" s="25"/>
      <c r="H10" s="25"/>
      <c r="I10" s="26"/>
      <c r="J10" s="25"/>
      <c r="K10" s="25"/>
    </row>
    <row r="11" spans="1:12">
      <c r="B11" s="27" t="s">
        <v>289</v>
      </c>
      <c r="C11" s="28" t="str">
        <f>VLOOKUP($C$12,kupci!$A:$J,3,FALSE)</f>
        <v>Sarajevo  71000</v>
      </c>
      <c r="D11" s="28"/>
      <c r="E11" s="28"/>
      <c r="F11" s="28"/>
      <c r="H11" s="200" t="str">
        <f>IF(J11="*", "",  "PDV broj")</f>
        <v>PDV broj</v>
      </c>
      <c r="I11" s="200"/>
      <c r="J11" s="198">
        <f>VLOOKUP($C$12,kupci!$A:$J,4,FALSE)</f>
        <v>209253450003</v>
      </c>
      <c r="K11" s="198"/>
    </row>
    <row r="12" spans="1:12">
      <c r="B12" s="27" t="s">
        <v>290</v>
      </c>
      <c r="C12" s="23" t="str">
        <f>'Za fakturisanje'!K$2</f>
        <v>BCC Sarajevo, PJ. 247</v>
      </c>
      <c r="D12" s="28"/>
      <c r="E12" s="28"/>
      <c r="F12" s="28"/>
      <c r="H12" s="201" t="str">
        <f>IF(J12="*", "",  "ID broj")</f>
        <v>ID broj</v>
      </c>
      <c r="I12" s="201"/>
      <c r="J12" s="199">
        <f>VLOOKUP($C$12,kupci!$A:$J,5,FALSE)</f>
        <v>4209253450003</v>
      </c>
      <c r="K12" s="199"/>
    </row>
    <row r="13" spans="1:12">
      <c r="C13" s="9" t="s">
        <v>309</v>
      </c>
      <c r="D13" s="9"/>
      <c r="K13" s="10" t="s">
        <v>291</v>
      </c>
    </row>
    <row r="14" spans="1:12" s="35" customFormat="1" ht="39.6" customHeight="1">
      <c r="A14" s="54" t="s">
        <v>292</v>
      </c>
      <c r="B14" s="202" t="s">
        <v>293</v>
      </c>
      <c r="C14" s="203"/>
      <c r="D14" s="30" t="s">
        <v>294</v>
      </c>
      <c r="E14" s="55" t="s">
        <v>295</v>
      </c>
      <c r="F14" s="30" t="s">
        <v>296</v>
      </c>
      <c r="G14" s="30" t="s">
        <v>297</v>
      </c>
      <c r="H14" s="61" t="s">
        <v>298</v>
      </c>
      <c r="I14" s="30" t="s">
        <v>299</v>
      </c>
      <c r="J14" s="30" t="s">
        <v>300</v>
      </c>
      <c r="K14" s="30" t="s">
        <v>301</v>
      </c>
      <c r="L14" s="56"/>
    </row>
    <row r="15" spans="1:12">
      <c r="A15" s="31" t="str">
        <f>IF(B15="","","1")</f>
        <v>1</v>
      </c>
      <c r="B15" s="79" t="str">
        <f t="array" ref="B15">IFERROR(INDEX('Za fakturisanje'!$B$1:$B$50,SMALL(IF(ISNUMBER('Za fakturisanje'!$K$1:$K$50),ROW('Za fakturisanje'!$K$1:$K$50)),ROW(E1))),"")</f>
        <v>svježe klice Alfalfa          D 17464</v>
      </c>
      <c r="C15" s="46"/>
      <c r="D15" s="88" t="str">
        <f t="array" ref="D15">IFERROR(INDEX('Za fakturisanje'!$C$1:$C$50,SMALL(IF(ISNUMBER('Za fakturisanje'!$K$1:$K$50),ROW('Za fakturisanje'!$K$1:$K$50)),ROW(E1))),"")</f>
        <v>kom</v>
      </c>
      <c r="E15" s="31">
        <f t="array" ref="E15">IFERROR(INDEX('Za fakturisanje'!$K$1:$K$50,SMALL(IF(ISNUMBER('Za fakturisanje'!$K$1:$K$50),ROW('Za fakturisanje'!$K$1:$K$50)),ROW(E1))),"")</f>
        <v>2</v>
      </c>
      <c r="F15" s="41">
        <f t="array" ref="F15">IFERROR(INDEX('Za fakturisanje'!$E$1:$E$50,SMALL(IF(ISNUMBER('Za fakturisanje'!$K$1:$K$50),ROW('Za fakturisanje'!$K$1:$K$50)),ROW(E1))),"")</f>
        <v>2.75</v>
      </c>
      <c r="G15" s="33">
        <f>IF(E15="", "",+E15*F15)</f>
        <v>5.5</v>
      </c>
      <c r="H15" s="31">
        <f>IF(B15="","",VLOOKUP($C$12,kupci!$A:$J,6,FALSE))</f>
        <v>0</v>
      </c>
      <c r="I15" s="41">
        <f>IF(B15="","",G15*H15/100)</f>
        <v>0</v>
      </c>
      <c r="J15" s="33">
        <f>IF(B15="", "",+G15-I15)</f>
        <v>5.5</v>
      </c>
      <c r="K15" s="33">
        <f>IF(B15="", "",+J15*1.17)</f>
        <v>6.4349999999999996</v>
      </c>
    </row>
    <row r="16" spans="1:12">
      <c r="A16" s="31" t="str">
        <f>IF(B16="","","2")</f>
        <v>2</v>
      </c>
      <c r="B16" s="79" t="str">
        <f t="array" ref="B16">IFERROR(INDEX('Za fakturisanje'!$B$1:$B$50,SMALL(IF(ISNUMBER('Za fakturisanje'!$K$1:$K$50),ROW('Za fakturisanje'!$K$1:$K$50)),ROW(E2))),"")</f>
        <v>svježe klice mix 1           D 17465</v>
      </c>
      <c r="C16" s="46"/>
      <c r="D16" s="88" t="str">
        <f t="array" ref="D16">IFERROR(INDEX('Za fakturisanje'!$C$1:$C$50,SMALL(IF(ISNUMBER('Za fakturisanje'!$K$1:$K$50),ROW('Za fakturisanje'!$K$1:$K$50)),ROW(E2))),"")</f>
        <v>kom</v>
      </c>
      <c r="E16" s="31">
        <f t="array" ref="E16">IFERROR(INDEX('Za fakturisanje'!$K$1:$K$50,SMALL(IF(ISNUMBER('Za fakturisanje'!$K$1:$K$50),ROW('Za fakturisanje'!$K$1:$K$50)),ROW(E2))),"")</f>
        <v>12</v>
      </c>
      <c r="F16" s="41">
        <f t="array" ref="F16">IFERROR(INDEX('Za fakturisanje'!$E$1:$E$50,SMALL(IF(ISNUMBER('Za fakturisanje'!$K$1:$K$50),ROW('Za fakturisanje'!$K$1:$K$50)),ROW(E2))),"")</f>
        <v>2.75</v>
      </c>
      <c r="G16" s="33">
        <f t="shared" ref="G16:G27" si="0">IF(E16="", "",+E16*F16)</f>
        <v>33</v>
      </c>
      <c r="H16" s="31">
        <f>IF(B16="","",VLOOKUP($C$12,kupci!$A:$J,6,FALSE))</f>
        <v>0</v>
      </c>
      <c r="I16" s="41">
        <f t="shared" ref="I16:I27" si="1">IF(B16="","",G16*H16/100)</f>
        <v>0</v>
      </c>
      <c r="J16" s="33">
        <f t="shared" ref="J16:J27" si="2">IF(B16="", "",+G16-I16)</f>
        <v>33</v>
      </c>
      <c r="K16" s="33">
        <f t="shared" ref="K16:K27" si="3">IF(B16="", "",+J16*1.17)</f>
        <v>38.61</v>
      </c>
    </row>
    <row r="17" spans="1:12">
      <c r="A17" s="31" t="str">
        <f>IF(B17="","","3")</f>
        <v>3</v>
      </c>
      <c r="B17" s="79" t="str">
        <f t="array" ref="B17">IFERROR(INDEX('Za fakturisanje'!$B$1:$B$50,SMALL(IF(ISNUMBER('Za fakturisanje'!$K$1:$K$50),ROW('Za fakturisanje'!$K$1:$K$50)),ROW(E3))),"")</f>
        <v>svježe klice mix 2           D 17466</v>
      </c>
      <c r="C17" s="46"/>
      <c r="D17" s="88" t="str">
        <f t="array" ref="D17">IFERROR(INDEX('Za fakturisanje'!$C$1:$C$50,SMALL(IF(ISNUMBER('Za fakturisanje'!$K$1:$K$50),ROW('Za fakturisanje'!$K$1:$K$50)),ROW(E3))),"")</f>
        <v>kom</v>
      </c>
      <c r="E17" s="31">
        <f t="array" ref="E17">IFERROR(INDEX('Za fakturisanje'!$K$1:$K$50,SMALL(IF(ISNUMBER('Za fakturisanje'!$K$1:$K$50),ROW('Za fakturisanje'!$K$1:$K$50)),ROW(E3))),"")</f>
        <v>2</v>
      </c>
      <c r="F17" s="41">
        <f t="array" ref="F17">IFERROR(INDEX('Za fakturisanje'!$E$1:$E$50,SMALL(IF(ISNUMBER('Za fakturisanje'!$K$1:$K$50),ROW('Za fakturisanje'!$K$1:$K$50)),ROW(E3))),"")</f>
        <v>2.75</v>
      </c>
      <c r="G17" s="33">
        <f t="shared" si="0"/>
        <v>5.5</v>
      </c>
      <c r="H17" s="31">
        <f>IF(B17="","",VLOOKUP($C$12,kupci!$A:$J,6,FALSE))</f>
        <v>0</v>
      </c>
      <c r="I17" s="41">
        <f t="shared" si="1"/>
        <v>0</v>
      </c>
      <c r="J17" s="33">
        <f t="shared" si="2"/>
        <v>5.5</v>
      </c>
      <c r="K17" s="33">
        <f t="shared" si="3"/>
        <v>6.4349999999999996</v>
      </c>
    </row>
    <row r="18" spans="1:12">
      <c r="A18" s="31" t="str">
        <f>IF(B18="","","4")</f>
        <v>4</v>
      </c>
      <c r="B18" s="79" t="str">
        <f t="array" ref="B18">IFERROR(INDEX('Za fakturisanje'!$B$1:$B$50,SMALL(IF(ISNUMBER('Za fakturisanje'!$K$1:$K$50),ROW('Za fakturisanje'!$K$1:$K$50)),ROW(E4))),"")</f>
        <v>svježe klice mix 3           D 17467</v>
      </c>
      <c r="C18" s="46"/>
      <c r="D18" s="88" t="str">
        <f t="array" ref="D18">IFERROR(INDEX('Za fakturisanje'!$C$1:$C$50,SMALL(IF(ISNUMBER('Za fakturisanje'!$K$1:$K$50),ROW('Za fakturisanje'!$K$1:$K$50)),ROW(E4))),"")</f>
        <v>kom</v>
      </c>
      <c r="E18" s="31">
        <f t="array" ref="E18">IFERROR(INDEX('Za fakturisanje'!$K$1:$K$50,SMALL(IF(ISNUMBER('Za fakturisanje'!$K$1:$K$50),ROW('Za fakturisanje'!$K$1:$K$50)),ROW(E4))),"")</f>
        <v>5</v>
      </c>
      <c r="F18" s="41">
        <f t="array" ref="F18">IFERROR(INDEX('Za fakturisanje'!$E$1:$E$50,SMALL(IF(ISNUMBER('Za fakturisanje'!$K$1:$K$50),ROW('Za fakturisanje'!$K$1:$K$50)),ROW(E4))),"")</f>
        <v>2.75</v>
      </c>
      <c r="G18" s="33">
        <f t="shared" si="0"/>
        <v>13.75</v>
      </c>
      <c r="H18" s="31">
        <f>IF(B18="","",VLOOKUP($C$12,kupci!$A:$J,6,FALSE))</f>
        <v>0</v>
      </c>
      <c r="I18" s="41">
        <f t="shared" si="1"/>
        <v>0</v>
      </c>
      <c r="J18" s="33">
        <f t="shared" si="2"/>
        <v>13.75</v>
      </c>
      <c r="K18" s="33">
        <f t="shared" si="3"/>
        <v>16.087499999999999</v>
      </c>
    </row>
    <row r="19" spans="1:12">
      <c r="A19" s="31" t="str">
        <f>IF(B19="","","5")</f>
        <v>5</v>
      </c>
      <c r="B19" s="79" t="str">
        <f t="array" ref="B19">IFERROR(INDEX('Za fakturisanje'!$B$1:$B$50,SMALL(IF(ISNUMBER('Za fakturisanje'!$K$1:$K$50),ROW('Za fakturisanje'!$K$1:$K$50)),ROW(E5))),"")</f>
        <v>mikropovrće Brokula     J 13769</v>
      </c>
      <c r="C19" s="53"/>
      <c r="D19" s="88" t="str">
        <f t="array" ref="D19">IFERROR(INDEX('Za fakturisanje'!$C$1:$C$50,SMALL(IF(ISNUMBER('Za fakturisanje'!$K$1:$K$50),ROW('Za fakturisanje'!$K$1:$K$50)),ROW(E5))),"")</f>
        <v>kom</v>
      </c>
      <c r="E19" s="31">
        <f t="array" ref="E19">IFERROR(INDEX('Za fakturisanje'!$K$1:$K$50,SMALL(IF(ISNUMBER('Za fakturisanje'!$K$1:$K$50),ROW('Za fakturisanje'!$K$1:$K$50)),ROW(E5))),"")</f>
        <v>4</v>
      </c>
      <c r="F19" s="41">
        <f t="array" ref="F19">IFERROR(INDEX('Za fakturisanje'!$E$1:$E$50,SMALL(IF(ISNUMBER('Za fakturisanje'!$K$1:$K$50),ROW('Za fakturisanje'!$K$1:$K$50)),ROW(E5))),"")</f>
        <v>3.07</v>
      </c>
      <c r="G19" s="33">
        <f t="shared" si="0"/>
        <v>12.28</v>
      </c>
      <c r="H19" s="31">
        <f>IF(B19="","",VLOOKUP($C$12,kupci!$A:$J,6,FALSE))</f>
        <v>0</v>
      </c>
      <c r="I19" s="41">
        <f t="shared" si="1"/>
        <v>0</v>
      </c>
      <c r="J19" s="33">
        <f t="shared" si="2"/>
        <v>12.28</v>
      </c>
      <c r="K19" s="33">
        <f t="shared" si="3"/>
        <v>14.367599999999998</v>
      </c>
    </row>
    <row r="20" spans="1:12">
      <c r="A20" s="31" t="str">
        <f>IF(B20="","","6")</f>
        <v>6</v>
      </c>
      <c r="B20" s="79" t="str">
        <f t="array" ref="B20">IFERROR(INDEX('Za fakturisanje'!$B$1:$B$50,SMALL(IF(ISNUMBER('Za fakturisanje'!$K$1:$K$50),ROW('Za fakturisanje'!$K$1:$K$50)),ROW(E6))),"")</f>
        <v>mikropovrće mix1          J 13770</v>
      </c>
      <c r="C20" s="48"/>
      <c r="D20" s="88" t="str">
        <f t="array" ref="D20">IFERROR(INDEX('Za fakturisanje'!$C$1:$C$50,SMALL(IF(ISNUMBER('Za fakturisanje'!$K$1:$K$50),ROW('Za fakturisanje'!$K$1:$K$50)),ROW(E6))),"")</f>
        <v>kom</v>
      </c>
      <c r="E20" s="31">
        <f t="array" ref="E20">IFERROR(INDEX('Za fakturisanje'!$K$1:$K$50,SMALL(IF(ISNUMBER('Za fakturisanje'!$K$1:$K$50),ROW('Za fakturisanje'!$K$1:$K$50)),ROW(E6))),"")</f>
        <v>6</v>
      </c>
      <c r="F20" s="41">
        <f t="array" ref="F20">IFERROR(INDEX('Za fakturisanje'!$E$1:$E$50,SMALL(IF(ISNUMBER('Za fakturisanje'!$K$1:$K$50),ROW('Za fakturisanje'!$K$1:$K$50)),ROW(E6))),"")</f>
        <v>3.07</v>
      </c>
      <c r="G20" s="33">
        <f t="shared" si="0"/>
        <v>18.419999999999998</v>
      </c>
      <c r="H20" s="31">
        <f>IF(B20="","",VLOOKUP($C$12,kupci!$A:$J,6,FALSE))</f>
        <v>0</v>
      </c>
      <c r="I20" s="41">
        <f t="shared" si="1"/>
        <v>0</v>
      </c>
      <c r="J20" s="33">
        <f t="shared" si="2"/>
        <v>18.419999999999998</v>
      </c>
      <c r="K20" s="33">
        <f t="shared" si="3"/>
        <v>21.551399999999997</v>
      </c>
    </row>
    <row r="21" spans="1:12">
      <c r="A21" s="31" t="str">
        <f>IF(B21="","","7")</f>
        <v>7</v>
      </c>
      <c r="B21" s="79" t="str">
        <f t="array" ref="B21">IFERROR(INDEX('Za fakturisanje'!$B$1:$B$50,SMALL(IF(ISNUMBER('Za fakturisanje'!$K$1:$K$50),ROW('Za fakturisanje'!$K$1:$K$50)),ROW(E7))),"")</f>
        <v>mikropovrće mix2          J 13771</v>
      </c>
      <c r="C21" s="49"/>
      <c r="D21" s="88" t="str">
        <f t="array" ref="D21">IFERROR(INDEX('Za fakturisanje'!$C$1:$C$50,SMALL(IF(ISNUMBER('Za fakturisanje'!$K$1:$K$50),ROW('Za fakturisanje'!$K$1:$K$50)),ROW(E7))),"")</f>
        <v>kom</v>
      </c>
      <c r="E21" s="31">
        <f t="array" ref="E21">IFERROR(INDEX('Za fakturisanje'!$K$1:$K$50,SMALL(IF(ISNUMBER('Za fakturisanje'!$K$1:$K$50),ROW('Za fakturisanje'!$K$1:$K$50)),ROW(E7))),"")</f>
        <v>6</v>
      </c>
      <c r="F21" s="41">
        <f t="array" ref="F21">IFERROR(INDEX('Za fakturisanje'!$E$1:$E$50,SMALL(IF(ISNUMBER('Za fakturisanje'!$K$1:$K$50),ROW('Za fakturisanje'!$K$1:$K$50)),ROW(E7))),"")</f>
        <v>3.07</v>
      </c>
      <c r="G21" s="33">
        <f t="shared" si="0"/>
        <v>18.419999999999998</v>
      </c>
      <c r="H21" s="31">
        <f>IF(B21="","",VLOOKUP($C$12,kupci!$A:$J,6,FALSE))</f>
        <v>0</v>
      </c>
      <c r="I21" s="41">
        <f t="shared" si="1"/>
        <v>0</v>
      </c>
      <c r="J21" s="33">
        <f t="shared" si="2"/>
        <v>18.419999999999998</v>
      </c>
      <c r="K21" s="33">
        <f t="shared" si="3"/>
        <v>21.551399999999997</v>
      </c>
    </row>
    <row r="22" spans="1:12">
      <c r="A22" s="31" t="str">
        <f>IF(B22="","","8")</f>
        <v/>
      </c>
      <c r="B22" s="79" t="str">
        <f t="array" ref="B22">IFERROR(INDEX('Za fakturisanje'!$B$1:$B$50,SMALL(IF(ISNUMBER('Za fakturisanje'!$K$1:$K$50),ROW('Za fakturisanje'!$K$1:$K$50)),ROW(E8))),"")</f>
        <v/>
      </c>
      <c r="C22" s="49"/>
      <c r="D22" s="88" t="str">
        <f t="array" ref="D22">IFERROR(INDEX('Za fakturisanje'!$C$1:$C$50,SMALL(IF(ISNUMBER('Za fakturisanje'!$K$1:$K$50),ROW('Za fakturisanje'!$K$1:$K$50)),ROW(E8))),"")</f>
        <v/>
      </c>
      <c r="E22" s="31" t="str">
        <f t="array" ref="E22">IFERROR(INDEX('Za fakturisanje'!$K$1:$K$50,SMALL(IF(ISNUMBER('Za fakturisanje'!$K$1:$K$50),ROW('Za fakturisanje'!$K$1:$K$50)),ROW(E8))),"")</f>
        <v/>
      </c>
      <c r="F22" s="41" t="str">
        <f t="array" ref="F22">IFERROR(INDEX('Za fakturisanje'!$E$1:$E$50,SMALL(IF(ISNUMBER('Za fakturisanje'!$K$1:$K$50),ROW('Za fakturisanje'!$K$1:$K$50)),ROW(E8))),"")</f>
        <v/>
      </c>
      <c r="G22" s="33" t="str">
        <f t="shared" si="0"/>
        <v/>
      </c>
      <c r="H22" s="31" t="str">
        <f>IF(B22="","",VLOOKUP($C$12,kupci!$A:$J,6,FALSE))</f>
        <v/>
      </c>
      <c r="I22" s="41" t="str">
        <f t="shared" si="1"/>
        <v/>
      </c>
      <c r="J22" s="33" t="str">
        <f t="shared" si="2"/>
        <v/>
      </c>
      <c r="K22" s="33" t="str">
        <f t="shared" si="3"/>
        <v/>
      </c>
    </row>
    <row r="23" spans="1:12">
      <c r="A23" s="31" t="str">
        <f>IF(B23="","","9")</f>
        <v/>
      </c>
      <c r="B23" s="79" t="str">
        <f t="array" ref="B23">IFERROR(INDEX('Za fakturisanje'!$B$1:$B$50,SMALL(IF(ISNUMBER('Za fakturisanje'!$K$1:$K$50),ROW('Za fakturisanje'!$K$1:$K$50)),ROW(E9))),"")</f>
        <v/>
      </c>
      <c r="C23" s="51"/>
      <c r="D23" s="88" t="str">
        <f t="array" ref="D23">IFERROR(INDEX('Za fakturisanje'!$C$1:$C$50,SMALL(IF(ISNUMBER('Za fakturisanje'!$K$1:$K$50),ROW('Za fakturisanje'!$K$1:$K$50)),ROW(E9))),"")</f>
        <v/>
      </c>
      <c r="E23" s="31" t="str">
        <f t="array" ref="E23">IFERROR(INDEX('Za fakturisanje'!$K$1:$K$50,SMALL(IF(ISNUMBER('Za fakturisanje'!$K$1:$K$50),ROW('Za fakturisanje'!$K$1:$K$50)),ROW(E9))),"")</f>
        <v/>
      </c>
      <c r="F23" s="41" t="str">
        <f t="array" ref="F23">IFERROR(INDEX('Za fakturisanje'!$E$1:$E$50,SMALL(IF(ISNUMBER('Za fakturisanje'!$K$1:$K$50),ROW('Za fakturisanje'!$K$1:$K$50)),ROW(E9))),"")</f>
        <v/>
      </c>
      <c r="G23" s="33" t="str">
        <f t="shared" si="0"/>
        <v/>
      </c>
      <c r="H23" s="31" t="str">
        <f>IF(B23="","",VLOOKUP($C$12,kupci!$A:$J,6,FALSE))</f>
        <v/>
      </c>
      <c r="I23" s="41" t="str">
        <f t="shared" si="1"/>
        <v/>
      </c>
      <c r="J23" s="33" t="str">
        <f t="shared" si="2"/>
        <v/>
      </c>
      <c r="K23" s="33" t="str">
        <f t="shared" si="3"/>
        <v/>
      </c>
    </row>
    <row r="24" spans="1:12">
      <c r="A24" s="31" t="str">
        <f>IF(B24="","","10")</f>
        <v/>
      </c>
      <c r="B24" s="79" t="str">
        <f t="array" ref="B24">IFERROR(INDEX('Za fakturisanje'!$B$1:$B$50,SMALL(IF(ISNUMBER('Za fakturisanje'!$K$1:$K$50),ROW('Za fakturisanje'!$K$1:$K$50)),ROW(E10))),"")</f>
        <v/>
      </c>
      <c r="C24" s="52"/>
      <c r="D24" s="88" t="str">
        <f t="array" ref="D24">IFERROR(INDEX('Za fakturisanje'!$C$1:$C$50,SMALL(IF(ISNUMBER('Za fakturisanje'!$K$1:$K$50),ROW('Za fakturisanje'!$K$1:$K$50)),ROW(E10))),"")</f>
        <v/>
      </c>
      <c r="E24" s="31" t="str">
        <f t="array" ref="E24">IFERROR(INDEX('Za fakturisanje'!$K$1:$K$50,SMALL(IF(ISNUMBER('Za fakturisanje'!$K$1:$K$50),ROW('Za fakturisanje'!$K$1:$K$50)),ROW(E10))),"")</f>
        <v/>
      </c>
      <c r="F24" s="41" t="str">
        <f t="array" ref="F24">IFERROR(INDEX('Za fakturisanje'!$E$1:$E$50,SMALL(IF(ISNUMBER('Za fakturisanje'!$K$1:$K$50),ROW('Za fakturisanje'!$K$1:$K$50)),ROW(E10))),"")</f>
        <v/>
      </c>
      <c r="G24" s="33" t="str">
        <f t="shared" si="0"/>
        <v/>
      </c>
      <c r="H24" s="31" t="str">
        <f>IF(B24="","",VLOOKUP($C$12,kupci!$A:$J,6,FALSE))</f>
        <v/>
      </c>
      <c r="I24" s="41" t="str">
        <f t="shared" si="1"/>
        <v/>
      </c>
      <c r="J24" s="33" t="str">
        <f t="shared" si="2"/>
        <v/>
      </c>
      <c r="K24" s="33" t="str">
        <f t="shared" si="3"/>
        <v/>
      </c>
    </row>
    <row r="25" spans="1:12">
      <c r="A25" s="31" t="str">
        <f>IF(B25="","","11")</f>
        <v/>
      </c>
      <c r="B25" s="79" t="str">
        <f t="array" ref="B25">IFERROR(INDEX('Za fakturisanje'!$B$1:$B$50,SMALL(IF(ISNUMBER('Za fakturisanje'!$K$1:$K$50),ROW('Za fakturisanje'!$K$1:$K$50)),ROW(E11))),"")</f>
        <v/>
      </c>
      <c r="C25" s="48"/>
      <c r="D25" s="88" t="str">
        <f t="array" ref="D25">IFERROR(INDEX('Za fakturisanje'!$C$1:$C$50,SMALL(IF(ISNUMBER('Za fakturisanje'!$K$1:$K$50),ROW('Za fakturisanje'!$K$1:$K$50)),ROW(E11))),"")</f>
        <v/>
      </c>
      <c r="E25" s="31" t="str">
        <f t="array" ref="E25">IFERROR(INDEX('Za fakturisanje'!$K$1:$K$50,SMALL(IF(ISNUMBER('Za fakturisanje'!$K$1:$K$50),ROW('Za fakturisanje'!$K$1:$K$50)),ROW(E11))),"")</f>
        <v/>
      </c>
      <c r="F25" s="41" t="str">
        <f t="array" ref="F25">IFERROR(INDEX('Za fakturisanje'!$E$1:$E$50,SMALL(IF(ISNUMBER('Za fakturisanje'!$K$1:$K$50),ROW('Za fakturisanje'!$K$1:$K$50)),ROW(E11))),"")</f>
        <v/>
      </c>
      <c r="G25" s="33" t="str">
        <f t="shared" si="0"/>
        <v/>
      </c>
      <c r="H25" s="31" t="str">
        <f>IF(B25="","",VLOOKUP($C$12,kupci!$A:$J,6,FALSE))</f>
        <v/>
      </c>
      <c r="I25" s="41" t="str">
        <f t="shared" si="1"/>
        <v/>
      </c>
      <c r="J25" s="33" t="str">
        <f t="shared" si="2"/>
        <v/>
      </c>
      <c r="K25" s="33" t="str">
        <f t="shared" si="3"/>
        <v/>
      </c>
    </row>
    <row r="26" spans="1:12">
      <c r="A26" s="31" t="str">
        <f>IF(B26="","","12")</f>
        <v/>
      </c>
      <c r="B26" s="79" t="str">
        <f t="array" ref="B26">IFERROR(INDEX('Za fakturisanje'!$B$1:$B$50,SMALL(IF(ISNUMBER('Za fakturisanje'!$K$1:$K$50),ROW('Za fakturisanje'!$K$1:$K$50)),ROW(E12))),"")</f>
        <v/>
      </c>
      <c r="C26" s="49"/>
      <c r="D26" s="88" t="str">
        <f t="array" ref="D26">IFERROR(INDEX('Za fakturisanje'!$C$1:$C$50,SMALL(IF(ISNUMBER('Za fakturisanje'!$K$1:$K$50),ROW('Za fakturisanje'!$K$1:$K$50)),ROW(E12))),"")</f>
        <v/>
      </c>
      <c r="E26" s="31" t="str">
        <f t="array" ref="E26">IFERROR(INDEX('Za fakturisanje'!$K$1:$K$50,SMALL(IF(ISNUMBER('Za fakturisanje'!$K$1:$K$50),ROW('Za fakturisanje'!$K$1:$K$50)),ROW(E12))),"")</f>
        <v/>
      </c>
      <c r="F26" s="41" t="str">
        <f t="array" ref="F26">IFERROR(INDEX('Za fakturisanje'!$E$1:$E$50,SMALL(IF(ISNUMBER('Za fakturisanje'!$K$1:$K$50),ROW('Za fakturisanje'!$K$1:$K$50)),ROW(E12))),"")</f>
        <v/>
      </c>
      <c r="G26" s="33" t="str">
        <f t="shared" si="0"/>
        <v/>
      </c>
      <c r="H26" s="31" t="str">
        <f>IF(B26="","",VLOOKUP($C$12,kupci!$A:$J,6,FALSE))</f>
        <v/>
      </c>
      <c r="I26" s="41" t="str">
        <f t="shared" si="1"/>
        <v/>
      </c>
      <c r="J26" s="33" t="str">
        <f t="shared" si="2"/>
        <v/>
      </c>
      <c r="K26" s="33" t="str">
        <f t="shared" si="3"/>
        <v/>
      </c>
    </row>
    <row r="27" spans="1:12">
      <c r="A27" s="31" t="str">
        <f>IF(B27="","","13")</f>
        <v/>
      </c>
      <c r="B27" s="79" t="str">
        <f t="array" ref="B27">IFERROR(INDEX('Za fakturisanje'!$B$1:$B$50,SMALL(IF(ISNUMBER('Za fakturisanje'!$K$1:$K$50),ROW('Za fakturisanje'!$K$1:$K$50)),ROW(E13))),"")</f>
        <v/>
      </c>
      <c r="C27" s="50"/>
      <c r="D27" s="88" t="str">
        <f t="array" ref="D27">IFERROR(INDEX('Za fakturisanje'!$C$1:$C$50,SMALL(IF(ISNUMBER('Za fakturisanje'!$K$1:$K$50),ROW('Za fakturisanje'!$K$1:$K$50)),ROW(E13))),"")</f>
        <v/>
      </c>
      <c r="E27" s="31" t="str">
        <f t="array" ref="E27">IFERROR(INDEX('Za fakturisanje'!$K$1:$K$50,SMALL(IF(ISNUMBER('Za fakturisanje'!$K$1:$K$50),ROW('Za fakturisanje'!$K$1:$K$50)),ROW(E13))),"")</f>
        <v/>
      </c>
      <c r="F27" s="41" t="str">
        <f t="array" ref="F27">IFERROR(INDEX('Za fakturisanje'!$E$1:$E$50,SMALL(IF(ISNUMBER('Za fakturisanje'!$K$1:$K$50),ROW('Za fakturisanje'!$K$1:$K$50)),ROW(E13))),"")</f>
        <v/>
      </c>
      <c r="G27" s="33" t="str">
        <f t="shared" si="0"/>
        <v/>
      </c>
      <c r="H27" s="31" t="str">
        <f>IF(B27="","",VLOOKUP($C$12,kupci!$A:$J,6,FALSE))</f>
        <v/>
      </c>
      <c r="I27" s="41" t="str">
        <f t="shared" si="1"/>
        <v/>
      </c>
      <c r="J27" s="33" t="str">
        <f t="shared" si="2"/>
        <v/>
      </c>
      <c r="K27" s="33" t="str">
        <f t="shared" si="3"/>
        <v/>
      </c>
    </row>
    <row r="28" spans="1:12">
      <c r="A28" s="31"/>
      <c r="B28" s="196"/>
      <c r="C28" s="197"/>
      <c r="D28" s="32"/>
      <c r="E28" s="36">
        <f>SUM(E15:E27)</f>
        <v>37</v>
      </c>
      <c r="F28" s="34"/>
      <c r="G28" s="33">
        <f>SUM(G15:G27)</f>
        <v>106.87</v>
      </c>
      <c r="H28" s="36"/>
      <c r="I28" s="34">
        <f>SUM(I15:I27)</f>
        <v>0</v>
      </c>
      <c r="J28" s="34">
        <f>+G28-I28</f>
        <v>106.87</v>
      </c>
      <c r="K28" s="34">
        <f>+J28*1.17</f>
        <v>125.03789999999999</v>
      </c>
    </row>
    <row r="29" spans="1:12">
      <c r="A29" s="37"/>
      <c r="B29" s="38"/>
      <c r="C29" s="38"/>
      <c r="D29" s="38"/>
      <c r="E29" s="38"/>
      <c r="F29" s="38"/>
      <c r="G29" s="38"/>
      <c r="H29" s="38"/>
      <c r="I29" s="38"/>
      <c r="J29" s="39"/>
      <c r="K29" s="39"/>
    </row>
    <row r="30" spans="1:12">
      <c r="A30" s="37"/>
      <c r="B30" s="38"/>
      <c r="C30" s="38"/>
      <c r="D30" s="38"/>
      <c r="E30" s="38"/>
      <c r="F30" s="38"/>
      <c r="G30" s="78" t="s">
        <v>302</v>
      </c>
      <c r="H30" s="32"/>
      <c r="I30" s="40"/>
      <c r="J30" s="70"/>
      <c r="K30" s="72">
        <f>TRUNC(ROUND(+G28*1,2),2)</f>
        <v>106.87</v>
      </c>
      <c r="L30" s="74" t="s">
        <v>303</v>
      </c>
    </row>
    <row r="31" spans="1:12">
      <c r="A31" s="37"/>
      <c r="B31" s="38"/>
      <c r="C31" s="38"/>
      <c r="D31" s="38"/>
      <c r="E31" s="38"/>
      <c r="F31" s="38"/>
      <c r="G31" s="79" t="s">
        <v>304</v>
      </c>
      <c r="H31" s="67"/>
      <c r="I31" s="68"/>
      <c r="J31" s="69"/>
      <c r="K31" s="69">
        <f>TRUNC(ROUND(+I28*1,2),2)</f>
        <v>0</v>
      </c>
      <c r="L31" s="75" t="s">
        <v>303</v>
      </c>
    </row>
    <row r="32" spans="1:12">
      <c r="A32" s="37"/>
      <c r="B32" s="38"/>
      <c r="C32" s="38"/>
      <c r="D32" s="38"/>
      <c r="E32" s="38"/>
      <c r="F32" s="38"/>
      <c r="G32" s="78" t="s">
        <v>305</v>
      </c>
      <c r="H32" s="32"/>
      <c r="I32" s="71"/>
      <c r="J32" s="72"/>
      <c r="K32" s="72">
        <f>TRUNC(ROUND(+J28*1,2),2)</f>
        <v>106.87</v>
      </c>
      <c r="L32" s="74" t="s">
        <v>303</v>
      </c>
    </row>
    <row r="33" spans="1:12">
      <c r="A33" s="37"/>
      <c r="B33" s="38"/>
      <c r="C33" s="38"/>
      <c r="D33" s="38"/>
      <c r="E33" s="38"/>
      <c r="F33" s="38"/>
      <c r="G33" s="79" t="s">
        <v>306</v>
      </c>
      <c r="H33" s="67"/>
      <c r="I33" s="68"/>
      <c r="J33" s="69"/>
      <c r="K33" s="69">
        <f>TRUNC(ROUND(K28-J28,2),2)</f>
        <v>18.170000000000002</v>
      </c>
      <c r="L33" s="75" t="s">
        <v>303</v>
      </c>
    </row>
    <row r="34" spans="1:12" ht="15.6">
      <c r="B34" s="38"/>
      <c r="C34" s="38"/>
      <c r="D34" s="38"/>
      <c r="E34" s="38"/>
      <c r="F34" s="38"/>
      <c r="G34" s="80" t="s">
        <v>307</v>
      </c>
      <c r="H34" s="42"/>
      <c r="I34" s="43"/>
      <c r="J34" s="73"/>
      <c r="K34" s="76">
        <f>TRUNC(ROUND(+K32+K33,2),2)</f>
        <v>125.04</v>
      </c>
      <c r="L34" s="77" t="s">
        <v>303</v>
      </c>
    </row>
    <row r="43" spans="1:12">
      <c r="B43" s="10" t="s">
        <v>308</v>
      </c>
      <c r="H43" s="10" t="s">
        <v>288</v>
      </c>
    </row>
  </sheetData>
  <sheetProtection sheet="1" objects="1" scenarios="1"/>
  <mergeCells count="10">
    <mergeCell ref="H12:I12"/>
    <mergeCell ref="J12:K12"/>
    <mergeCell ref="B14:C14"/>
    <mergeCell ref="B28:C28"/>
    <mergeCell ref="J1:K1"/>
    <mergeCell ref="J2:K2"/>
    <mergeCell ref="J3:K3"/>
    <mergeCell ref="J4:K4"/>
    <mergeCell ref="H11:I11"/>
    <mergeCell ref="J11:K11"/>
  </mergeCells>
  <pageMargins left="0.62992125984251968" right="0.23622047244094491" top="0.74803149606299213" bottom="0.74803149606299213" header="0.31496062992125984" footer="0.31496062992125984"/>
  <pageSetup paperSize="9" orientation="portrait" horizontalDpi="4294967293" verticalDpi="4294967293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404D-B82D-4F68-BCF4-62073E02AA61}">
  <sheetPr codeName="Sheet12"/>
  <dimension ref="A1:L43"/>
  <sheetViews>
    <sheetView zoomScaleNormal="100" workbookViewId="0">
      <selection activeCell="J1" sqref="J1:K1"/>
    </sheetView>
  </sheetViews>
  <sheetFormatPr defaultRowHeight="14.45"/>
  <cols>
    <col min="1" max="1" width="3.28515625" style="9" customWidth="1"/>
    <col min="2" max="2" width="14.28515625" style="10" customWidth="1"/>
    <col min="3" max="3" width="15.5703125" style="10" customWidth="1"/>
    <col min="4" max="4" width="5.140625" style="10" bestFit="1" customWidth="1"/>
    <col min="5" max="5" width="5.140625" style="10" customWidth="1"/>
    <col min="6" max="6" width="5.5703125" style="10" customWidth="1"/>
    <col min="7" max="7" width="8" style="10" customWidth="1"/>
    <col min="8" max="8" width="3.7109375" style="10" customWidth="1"/>
    <col min="9" max="9" width="5.7109375" style="29" customWidth="1"/>
    <col min="10" max="10" width="7.42578125" style="10" customWidth="1"/>
    <col min="11" max="11" width="10.28515625" style="10" customWidth="1"/>
    <col min="12" max="12" width="3.42578125" style="10" customWidth="1"/>
  </cols>
  <sheetData>
    <row r="1" spans="1:12">
      <c r="G1" s="82" t="s">
        <v>278</v>
      </c>
      <c r="H1" s="82"/>
      <c r="I1" s="11"/>
      <c r="J1" s="204">
        <f>'Za KIF-a'!E8</f>
        <v>22192</v>
      </c>
      <c r="K1" s="204"/>
    </row>
    <row r="2" spans="1:12">
      <c r="G2" s="81" t="s">
        <v>279</v>
      </c>
      <c r="H2" s="81"/>
      <c r="I2" s="11"/>
      <c r="J2" s="194">
        <f>'Za KIF-a'!D8</f>
        <v>1205</v>
      </c>
      <c r="K2" s="194"/>
    </row>
    <row r="3" spans="1:12">
      <c r="G3" s="81" t="s">
        <v>212</v>
      </c>
      <c r="H3" s="81"/>
      <c r="I3" s="13"/>
      <c r="J3" s="195">
        <f ca="1">'Za KIF-a'!L1</f>
        <v>44635</v>
      </c>
      <c r="K3" s="195"/>
    </row>
    <row r="4" spans="1:12">
      <c r="G4" s="81" t="s">
        <v>214</v>
      </c>
      <c r="H4" s="81"/>
      <c r="I4" s="13"/>
      <c r="J4" s="195">
        <f ca="1">'Za KIF-a'!L2</f>
        <v>44636</v>
      </c>
      <c r="K4" s="195"/>
    </row>
    <row r="5" spans="1:12">
      <c r="G5" s="81" t="s">
        <v>280</v>
      </c>
      <c r="H5" s="81"/>
      <c r="I5" s="13"/>
      <c r="J5" s="14" t="str">
        <f>VLOOKUP($C$12,kupci!$A:$J,7,FALSE)</f>
        <v>7 dana</v>
      </c>
      <c r="K5" s="14"/>
    </row>
    <row r="6" spans="1:12">
      <c r="B6" s="15" t="s">
        <v>281</v>
      </c>
      <c r="C6" s="16"/>
      <c r="D6" s="15"/>
      <c r="E6" s="16"/>
      <c r="F6" s="16" t="s">
        <v>282</v>
      </c>
      <c r="G6" s="16"/>
      <c r="H6" s="16"/>
      <c r="I6" s="16"/>
      <c r="J6" s="17"/>
      <c r="K6" s="16"/>
    </row>
    <row r="7" spans="1:12">
      <c r="B7" s="15" t="s">
        <v>283</v>
      </c>
      <c r="C7" s="16"/>
      <c r="D7" s="15"/>
      <c r="E7" s="16"/>
      <c r="F7" s="16" t="s">
        <v>284</v>
      </c>
      <c r="G7" s="16"/>
      <c r="H7" s="16"/>
      <c r="I7" s="16"/>
      <c r="J7" s="17"/>
      <c r="K7" s="16"/>
    </row>
    <row r="8" spans="1:12">
      <c r="B8" s="15" t="s">
        <v>14</v>
      </c>
      <c r="C8" s="16"/>
      <c r="D8" s="15"/>
      <c r="E8" s="16"/>
      <c r="F8" s="15" t="s">
        <v>285</v>
      </c>
      <c r="G8" s="16"/>
      <c r="H8" s="16"/>
      <c r="I8" s="16"/>
      <c r="J8" s="17"/>
      <c r="K8" s="16"/>
    </row>
    <row r="9" spans="1:12">
      <c r="B9" s="18" t="s">
        <v>286</v>
      </c>
      <c r="C9" s="19"/>
      <c r="D9" s="18"/>
      <c r="E9" s="19"/>
      <c r="F9" s="20" t="s">
        <v>287</v>
      </c>
      <c r="G9" s="19"/>
      <c r="H9" s="19"/>
      <c r="I9" s="19"/>
      <c r="J9" s="21"/>
      <c r="K9" s="19"/>
    </row>
    <row r="10" spans="1:12">
      <c r="B10" s="22" t="s">
        <v>288</v>
      </c>
      <c r="C10" s="28" t="str">
        <f>VLOOKUP($C$12,kupci!$A:$J,2,FALSE)</f>
        <v>Zelenara trgovinska radnja</v>
      </c>
      <c r="D10" s="24"/>
      <c r="E10" s="24"/>
      <c r="F10" s="23"/>
      <c r="G10" s="25"/>
      <c r="H10" s="25"/>
      <c r="I10" s="26"/>
      <c r="J10" s="25"/>
      <c r="K10" s="25"/>
    </row>
    <row r="11" spans="1:12">
      <c r="B11" s="27" t="s">
        <v>289</v>
      </c>
      <c r="C11" s="28" t="str">
        <f>VLOOKUP($C$12,kupci!$A:$J,3,FALSE)</f>
        <v>I.Sarajevo 71123</v>
      </c>
      <c r="D11" s="28"/>
      <c r="E11" s="28"/>
      <c r="F11" s="28"/>
      <c r="H11" s="200" t="str">
        <f>IF(J11="*", "",  "PDV broj")</f>
        <v>PDV broj</v>
      </c>
      <c r="I11" s="200"/>
      <c r="J11" s="198">
        <f>VLOOKUP($C$12,kupci!$A:$J,4,FALSE)</f>
        <v>507894200008</v>
      </c>
      <c r="K11" s="198"/>
    </row>
    <row r="12" spans="1:12">
      <c r="B12" s="27" t="s">
        <v>290</v>
      </c>
      <c r="C12" s="23" t="str">
        <f>'Za fakturisanje'!L$2</f>
        <v>Zelenara, Svetosavska 19</v>
      </c>
      <c r="D12" s="28"/>
      <c r="E12" s="28"/>
      <c r="F12" s="28"/>
      <c r="H12" s="201" t="str">
        <f>IF(J12="*", "",  "ID broj")</f>
        <v>ID broj</v>
      </c>
      <c r="I12" s="201"/>
      <c r="J12" s="199">
        <f>VLOOKUP($C$12,kupci!$A:$J,5,FALSE)</f>
        <v>4507894200008</v>
      </c>
      <c r="K12" s="199"/>
    </row>
    <row r="13" spans="1:12">
      <c r="C13" s="9"/>
      <c r="D13" s="9"/>
      <c r="K13" s="10" t="s">
        <v>291</v>
      </c>
    </row>
    <row r="14" spans="1:12" s="35" customFormat="1" ht="39.6" customHeight="1">
      <c r="A14" s="54" t="s">
        <v>292</v>
      </c>
      <c r="B14" s="202" t="s">
        <v>293</v>
      </c>
      <c r="C14" s="203"/>
      <c r="D14" s="30" t="s">
        <v>294</v>
      </c>
      <c r="E14" s="55" t="s">
        <v>295</v>
      </c>
      <c r="F14" s="30" t="s">
        <v>296</v>
      </c>
      <c r="G14" s="30" t="s">
        <v>297</v>
      </c>
      <c r="H14" s="61" t="s">
        <v>298</v>
      </c>
      <c r="I14" s="30" t="s">
        <v>299</v>
      </c>
      <c r="J14" s="30" t="s">
        <v>300</v>
      </c>
      <c r="K14" s="30" t="s">
        <v>301</v>
      </c>
      <c r="L14" s="56"/>
    </row>
    <row r="15" spans="1:12">
      <c r="A15" s="31" t="str">
        <f>IF(B15="","","1")</f>
        <v>1</v>
      </c>
      <c r="B15" s="79" t="str">
        <f t="array" ref="B15">IFERROR(INDEX('Za fakturisanje'!$B$1:$B$50,SMALL(IF(ISNUMBER('Za fakturisanje'!$L$1:$L$50),ROW('Za fakturisanje'!$L$1:$L$50)),ROW(E1))),"")</f>
        <v>Mikropovrće Rukola</v>
      </c>
      <c r="C15" s="46"/>
      <c r="D15" s="88" t="str">
        <f t="array" ref="D15">IFERROR(INDEX('Za fakturisanje'!$C$1:$C$50,SMALL(IF(ISNUMBER('Za fakturisanje'!$L$1:$L$50),ROW('Za fakturisanje'!$L$1:$L$50)),ROW(E1))),"")</f>
        <v>kom</v>
      </c>
      <c r="E15" s="31">
        <f t="array" ref="E15">IFERROR(INDEX('Za fakturisanje'!$L$1:$L$50,SMALL(IF(ISNUMBER('Za fakturisanje'!$L$1:$L$50),ROW('Za fakturisanje'!$L$1:$L$50)),ROW(E1))),"")</f>
        <v>6</v>
      </c>
      <c r="F15" s="41">
        <f t="array" ref="F15">IFERROR(INDEX('Za fakturisanje'!$E$1:$E$50,SMALL(IF(ISNUMBER('Za fakturisanje'!$L$1:$L$50),ROW('Za fakturisanje'!$L$1:$L$50)),ROW(E1))),"")</f>
        <v>3.68</v>
      </c>
      <c r="G15" s="33">
        <f>IF(E15="", "",+E15*F15)</f>
        <v>22.080000000000002</v>
      </c>
      <c r="H15" s="31">
        <v>20</v>
      </c>
      <c r="I15" s="41">
        <f>IF(B15="","",G15*H15/100)</f>
        <v>4.4160000000000004</v>
      </c>
      <c r="J15" s="33">
        <f>IF(B15="", "",+G15-I15)</f>
        <v>17.664000000000001</v>
      </c>
      <c r="K15" s="33">
        <f>IF(B15="", "",+J15*1.17)</f>
        <v>20.666879999999999</v>
      </c>
    </row>
    <row r="16" spans="1:12">
      <c r="A16" s="31" t="str">
        <f>IF(B16="","","2")</f>
        <v>2</v>
      </c>
      <c r="B16" s="79" t="str">
        <f t="array" ref="B16">IFERROR(INDEX('Za fakturisanje'!$B$1:$B$50,SMALL(IF(ISNUMBER('Za fakturisanje'!$L$1:$L$50),ROW('Za fakturisanje'!$L$1:$L$50)),ROW(E2))),"")</f>
        <v>Mikropovrće china rose</v>
      </c>
      <c r="C16" s="46"/>
      <c r="D16" s="88" t="str">
        <f t="array" ref="D16">IFERROR(INDEX('Za fakturisanje'!$C$1:$C$50,SMALL(IF(ISNUMBER('Za fakturisanje'!$L$1:$L$50),ROW('Za fakturisanje'!$L$1:$L$50)),ROW(E2))),"")</f>
        <v>kom</v>
      </c>
      <c r="E16" s="31">
        <f t="array" ref="E16">IFERROR(INDEX('Za fakturisanje'!$L$1:$L$50,SMALL(IF(ISNUMBER('Za fakturisanje'!$L$1:$L$50),ROW('Za fakturisanje'!$L$1:$L$50)),ROW(E2))),"")</f>
        <v>3</v>
      </c>
      <c r="F16" s="41">
        <f t="array" ref="F16">IFERROR(INDEX('Za fakturisanje'!$E$1:$E$50,SMALL(IF(ISNUMBER('Za fakturisanje'!$L$1:$L$50),ROW('Za fakturisanje'!$L$1:$L$50)),ROW(E2))),"")</f>
        <v>3.68</v>
      </c>
      <c r="G16" s="33">
        <f t="shared" ref="G16:G27" si="0">IF(E16="", "",+E16*F16)</f>
        <v>11.040000000000001</v>
      </c>
      <c r="H16" s="31">
        <v>20</v>
      </c>
      <c r="I16" s="41">
        <f t="shared" ref="I16:I27" si="1">IF(B16="","",G16*H16/100)</f>
        <v>2.2080000000000002</v>
      </c>
      <c r="J16" s="33">
        <f t="shared" ref="J16:J27" si="2">IF(B16="", "",+G16-I16)</f>
        <v>8.8320000000000007</v>
      </c>
      <c r="K16" s="33">
        <f t="shared" ref="K16:K27" si="3">IF(B16="", "",+J16*1.17)</f>
        <v>10.33344</v>
      </c>
    </row>
    <row r="17" spans="1:12">
      <c r="A17" s="31" t="str">
        <f>IF(B17="","","3")</f>
        <v>3</v>
      </c>
      <c r="B17" s="79" t="str">
        <f t="array" ref="B17">IFERROR(INDEX('Za fakturisanje'!$B$1:$B$50,SMALL(IF(ISNUMBER('Za fakturisanje'!$L$1:$L$50),ROW('Za fakturisanje'!$L$1:$L$50)),ROW(E3))),"")</f>
        <v>Mikropovrće vulcano</v>
      </c>
      <c r="C17" s="46"/>
      <c r="D17" s="88" t="str">
        <f t="array" ref="D17">IFERROR(INDEX('Za fakturisanje'!$C$1:$C$50,SMALL(IF(ISNUMBER('Za fakturisanje'!$L$1:$L$50),ROW('Za fakturisanje'!$L$1:$L$50)),ROW(E3))),"")</f>
        <v>kom</v>
      </c>
      <c r="E17" s="31">
        <f t="array" ref="E17">IFERROR(INDEX('Za fakturisanje'!$L$1:$L$50,SMALL(IF(ISNUMBER('Za fakturisanje'!$L$1:$L$50),ROW('Za fakturisanje'!$L$1:$L$50)),ROW(E3))),"")</f>
        <v>2</v>
      </c>
      <c r="F17" s="41">
        <f t="array" ref="F17">IFERROR(INDEX('Za fakturisanje'!$E$1:$E$50,SMALL(IF(ISNUMBER('Za fakturisanje'!$L$1:$L$50),ROW('Za fakturisanje'!$L$1:$L$50)),ROW(E3))),"")</f>
        <v>4.2</v>
      </c>
      <c r="G17" s="33">
        <f t="shared" si="0"/>
        <v>8.4</v>
      </c>
      <c r="H17" s="31">
        <v>20</v>
      </c>
      <c r="I17" s="41">
        <f t="shared" si="1"/>
        <v>1.68</v>
      </c>
      <c r="J17" s="33">
        <f t="shared" si="2"/>
        <v>6.7200000000000006</v>
      </c>
      <c r="K17" s="33">
        <f t="shared" si="3"/>
        <v>7.8624000000000001</v>
      </c>
    </row>
    <row r="18" spans="1:12">
      <c r="A18" s="31" t="str">
        <f>IF(B18="","","4")</f>
        <v>4</v>
      </c>
      <c r="B18" s="79" t="str">
        <f t="array" ref="B18">IFERROR(INDEX('Za fakturisanje'!$B$1:$B$50,SMALL(IF(ISNUMBER('Za fakturisanje'!$L$1:$L$50),ROW('Za fakturisanje'!$L$1:$L$50)),ROW(E4))),"")</f>
        <v>Mikropovrće daikon</v>
      </c>
      <c r="C18" s="46"/>
      <c r="D18" s="88" t="str">
        <f t="array" ref="D18">IFERROR(INDEX('Za fakturisanje'!$C$1:$C$50,SMALL(IF(ISNUMBER('Za fakturisanje'!$L$1:$L$50),ROW('Za fakturisanje'!$L$1:$L$50)),ROW(E4))),"")</f>
        <v>kom</v>
      </c>
      <c r="E18" s="31">
        <f t="array" ref="E18">IFERROR(INDEX('Za fakturisanje'!$L$1:$L$50,SMALL(IF(ISNUMBER('Za fakturisanje'!$L$1:$L$50),ROW('Za fakturisanje'!$L$1:$L$50)),ROW(E4))),"")</f>
        <v>3</v>
      </c>
      <c r="F18" s="41">
        <f t="array" ref="F18">IFERROR(INDEX('Za fakturisanje'!$E$1:$E$50,SMALL(IF(ISNUMBER('Za fakturisanje'!$L$1:$L$50),ROW('Za fakturisanje'!$L$1:$L$50)),ROW(E4))),"")</f>
        <v>3.68</v>
      </c>
      <c r="G18" s="33">
        <f t="shared" si="0"/>
        <v>11.040000000000001</v>
      </c>
      <c r="H18" s="31">
        <v>20</v>
      </c>
      <c r="I18" s="41">
        <f t="shared" si="1"/>
        <v>2.2080000000000002</v>
      </c>
      <c r="J18" s="33">
        <f t="shared" si="2"/>
        <v>8.8320000000000007</v>
      </c>
      <c r="K18" s="33">
        <f t="shared" si="3"/>
        <v>10.33344</v>
      </c>
    </row>
    <row r="19" spans="1:12">
      <c r="A19" s="31" t="str">
        <f>IF(B19="","","5")</f>
        <v>5</v>
      </c>
      <c r="B19" s="79" t="str">
        <f t="array" ref="B19">IFERROR(INDEX('Za fakturisanje'!$B$1:$B$50,SMALL(IF(ISNUMBER('Za fakturisanje'!$L$1:$L$50),ROW('Za fakturisanje'!$L$1:$L$50)),ROW(E5))),"")</f>
        <v>Mikropovrće keleraba</v>
      </c>
      <c r="C19" s="53"/>
      <c r="D19" s="88" t="str">
        <f t="array" ref="D19">IFERROR(INDEX('Za fakturisanje'!$C$1:$C$50,SMALL(IF(ISNUMBER('Za fakturisanje'!$L$1:$L$50),ROW('Za fakturisanje'!$L$1:$L$50)),ROW(E5))),"")</f>
        <v>kom</v>
      </c>
      <c r="E19" s="31">
        <f t="array" ref="E19">IFERROR(INDEX('Za fakturisanje'!$L$1:$L$50,SMALL(IF(ISNUMBER('Za fakturisanje'!$L$1:$L$50),ROW('Za fakturisanje'!$L$1:$L$50)),ROW(E5))),"")</f>
        <v>2</v>
      </c>
      <c r="F19" s="41">
        <f t="array" ref="F19">IFERROR(INDEX('Za fakturisanje'!$E$1:$E$50,SMALL(IF(ISNUMBER('Za fakturisanje'!$L$1:$L$50),ROW('Za fakturisanje'!$L$1:$L$50)),ROW(E5))),"")</f>
        <v>3.45</v>
      </c>
      <c r="G19" s="33">
        <f t="shared" si="0"/>
        <v>6.9</v>
      </c>
      <c r="H19" s="31">
        <v>20</v>
      </c>
      <c r="I19" s="41">
        <f t="shared" si="1"/>
        <v>1.38</v>
      </c>
      <c r="J19" s="33">
        <f t="shared" si="2"/>
        <v>5.5200000000000005</v>
      </c>
      <c r="K19" s="33">
        <f t="shared" si="3"/>
        <v>6.4584000000000001</v>
      </c>
    </row>
    <row r="20" spans="1:12">
      <c r="A20" s="31" t="str">
        <f>IF(B20="","","6")</f>
        <v/>
      </c>
      <c r="B20" s="79" t="str">
        <f t="array" ref="B20">IFERROR(INDEX('Za fakturisanje'!$B$1:$B$50,SMALL(IF(ISNUMBER('Za fakturisanje'!$L$1:$L$50),ROW('Za fakturisanje'!$L$1:$L$50)),ROW(E6))),"")</f>
        <v/>
      </c>
      <c r="C20" s="48"/>
      <c r="D20" s="88" t="str">
        <f t="array" ref="D20">IFERROR(INDEX('Za fakturisanje'!$C$1:$C$50,SMALL(IF(ISNUMBER('Za fakturisanje'!$L$1:$L$50),ROW('Za fakturisanje'!$L$1:$L$50)),ROW(E6))),"")</f>
        <v/>
      </c>
      <c r="E20" s="31" t="str">
        <f t="array" ref="E20">IFERROR(INDEX('Za fakturisanje'!$L$1:$L$50,SMALL(IF(ISNUMBER('Za fakturisanje'!$L$1:$L$50),ROW('Za fakturisanje'!$L$1:$L$50)),ROW(E6))),"")</f>
        <v/>
      </c>
      <c r="F20" s="41" t="str">
        <f t="array" ref="F20">IFERROR(INDEX('Za fakturisanje'!$E$1:$E$50,SMALL(IF(ISNUMBER('Za fakturisanje'!$L$1:$L$50),ROW('Za fakturisanje'!$L$1:$L$50)),ROW(E6))),"")</f>
        <v/>
      </c>
      <c r="G20" s="33" t="str">
        <f t="shared" si="0"/>
        <v/>
      </c>
      <c r="H20" s="31"/>
      <c r="I20" s="41" t="str">
        <f t="shared" si="1"/>
        <v/>
      </c>
      <c r="J20" s="33" t="str">
        <f t="shared" si="2"/>
        <v/>
      </c>
      <c r="K20" s="33" t="str">
        <f t="shared" si="3"/>
        <v/>
      </c>
    </row>
    <row r="21" spans="1:12">
      <c r="A21" s="31" t="str">
        <f>IF(B21="","","7")</f>
        <v/>
      </c>
      <c r="B21" s="79" t="str">
        <f t="array" ref="B21">IFERROR(INDEX('Za fakturisanje'!$B$1:$B$50,SMALL(IF(ISNUMBER('Za fakturisanje'!$L$1:$L$50),ROW('Za fakturisanje'!$L$1:$L$50)),ROW(E7))),"")</f>
        <v/>
      </c>
      <c r="C21" s="49"/>
      <c r="D21" s="88" t="str">
        <f t="array" ref="D21">IFERROR(INDEX('Za fakturisanje'!$C$1:$C$50,SMALL(IF(ISNUMBER('Za fakturisanje'!$L$1:$L$50),ROW('Za fakturisanje'!$L$1:$L$50)),ROW(E7))),"")</f>
        <v/>
      </c>
      <c r="E21" s="31" t="str">
        <f t="array" ref="E21">IFERROR(INDEX('Za fakturisanje'!$L$1:$L$50,SMALL(IF(ISNUMBER('Za fakturisanje'!$L$1:$L$50),ROW('Za fakturisanje'!$L$1:$L$50)),ROW(E7))),"")</f>
        <v/>
      </c>
      <c r="F21" s="41" t="str">
        <f t="array" ref="F21">IFERROR(INDEX('Za fakturisanje'!$E$1:$E$50,SMALL(IF(ISNUMBER('Za fakturisanje'!$L$1:$L$50),ROW('Za fakturisanje'!$L$1:$L$50)),ROW(E7))),"")</f>
        <v/>
      </c>
      <c r="G21" s="33" t="str">
        <f t="shared" si="0"/>
        <v/>
      </c>
      <c r="H21" s="31"/>
      <c r="I21" s="41" t="str">
        <f t="shared" si="1"/>
        <v/>
      </c>
      <c r="J21" s="33" t="str">
        <f t="shared" si="2"/>
        <v/>
      </c>
      <c r="K21" s="33" t="str">
        <f t="shared" si="3"/>
        <v/>
      </c>
    </row>
    <row r="22" spans="1:12">
      <c r="A22" s="31" t="str">
        <f>IF(B22="","","8")</f>
        <v/>
      </c>
      <c r="B22" s="79" t="str">
        <f t="array" ref="B22">IFERROR(INDEX('Za fakturisanje'!$B$1:$B$50,SMALL(IF(ISNUMBER('Za fakturisanje'!$L$1:$L$50),ROW('Za fakturisanje'!$L$1:$L$50)),ROW(E8))),"")</f>
        <v/>
      </c>
      <c r="C22" s="49"/>
      <c r="D22" s="88" t="str">
        <f t="array" ref="D22">IFERROR(INDEX('Za fakturisanje'!$C$1:$C$50,SMALL(IF(ISNUMBER('Za fakturisanje'!$L$1:$L$50),ROW('Za fakturisanje'!$L$1:$L$50)),ROW(E8))),"")</f>
        <v/>
      </c>
      <c r="E22" s="31" t="str">
        <f t="array" ref="E22">IFERROR(INDEX('Za fakturisanje'!$L$1:$L$50,SMALL(IF(ISNUMBER('Za fakturisanje'!$L$1:$L$50),ROW('Za fakturisanje'!$L$1:$L$50)),ROW(E8))),"")</f>
        <v/>
      </c>
      <c r="F22" s="41" t="str">
        <f t="array" ref="F22">IFERROR(INDEX('Za fakturisanje'!$E$1:$E$50,SMALL(IF(ISNUMBER('Za fakturisanje'!$L$1:$L$50),ROW('Za fakturisanje'!$L$1:$L$50)),ROW(E8))),"")</f>
        <v/>
      </c>
      <c r="G22" s="33" t="str">
        <f t="shared" si="0"/>
        <v/>
      </c>
      <c r="H22" s="31"/>
      <c r="I22" s="41" t="str">
        <f t="shared" si="1"/>
        <v/>
      </c>
      <c r="J22" s="33" t="str">
        <f t="shared" si="2"/>
        <v/>
      </c>
      <c r="K22" s="33" t="str">
        <f t="shared" si="3"/>
        <v/>
      </c>
    </row>
    <row r="23" spans="1:12">
      <c r="A23" s="31" t="str">
        <f>IF(B23="","","9")</f>
        <v/>
      </c>
      <c r="B23" s="79" t="str">
        <f t="array" ref="B23">IFERROR(INDEX('Za fakturisanje'!$B$1:$B$50,SMALL(IF(ISNUMBER('Za fakturisanje'!$L$1:$L$50),ROW('Za fakturisanje'!$L$1:$L$50)),ROW(E9))),"")</f>
        <v/>
      </c>
      <c r="C23" s="51"/>
      <c r="D23" s="88" t="str">
        <f t="array" ref="D23">IFERROR(INDEX('Za fakturisanje'!$C$1:$C$50,SMALL(IF(ISNUMBER('Za fakturisanje'!$L$1:$L$50),ROW('Za fakturisanje'!$L$1:$L$50)),ROW(E9))),"")</f>
        <v/>
      </c>
      <c r="E23" s="31" t="str">
        <f t="array" ref="E23">IFERROR(INDEX('Za fakturisanje'!$L$1:$L$50,SMALL(IF(ISNUMBER('Za fakturisanje'!$L$1:$L$50),ROW('Za fakturisanje'!$L$1:$L$50)),ROW(E9))),"")</f>
        <v/>
      </c>
      <c r="F23" s="41" t="str">
        <f t="array" ref="F23">IFERROR(INDEX('Za fakturisanje'!$E$1:$E$50,SMALL(IF(ISNUMBER('Za fakturisanje'!$L$1:$L$50),ROW('Za fakturisanje'!$L$1:$L$50)),ROW(E9))),"")</f>
        <v/>
      </c>
      <c r="G23" s="33" t="str">
        <f t="shared" si="0"/>
        <v/>
      </c>
      <c r="H23" s="31"/>
      <c r="I23" s="41" t="str">
        <f t="shared" si="1"/>
        <v/>
      </c>
      <c r="J23" s="33" t="str">
        <f t="shared" si="2"/>
        <v/>
      </c>
      <c r="K23" s="33" t="str">
        <f t="shared" si="3"/>
        <v/>
      </c>
    </row>
    <row r="24" spans="1:12">
      <c r="A24" s="31" t="str">
        <f>IF(B24="","","10")</f>
        <v/>
      </c>
      <c r="B24" s="79" t="str">
        <f t="array" ref="B24">IFERROR(INDEX('Za fakturisanje'!$B$1:$B$50,SMALL(IF(ISNUMBER('Za fakturisanje'!$L$1:$L$50),ROW('Za fakturisanje'!$L$1:$L$50)),ROW(E10))),"")</f>
        <v/>
      </c>
      <c r="C24" s="52"/>
      <c r="D24" s="88" t="str">
        <f t="array" ref="D24">IFERROR(INDEX('Za fakturisanje'!$C$1:$C$50,SMALL(IF(ISNUMBER('Za fakturisanje'!$L$1:$L$50),ROW('Za fakturisanje'!$L$1:$L$50)),ROW(E10))),"")</f>
        <v/>
      </c>
      <c r="E24" s="31" t="str">
        <f t="array" ref="E24">IFERROR(INDEX('Za fakturisanje'!$L$1:$L$50,SMALL(IF(ISNUMBER('Za fakturisanje'!$L$1:$L$50),ROW('Za fakturisanje'!$L$1:$L$50)),ROW(E10))),"")</f>
        <v/>
      </c>
      <c r="F24" s="41" t="str">
        <f t="array" ref="F24">IFERROR(INDEX('Za fakturisanje'!$E$1:$E$50,SMALL(IF(ISNUMBER('Za fakturisanje'!$L$1:$L$50),ROW('Za fakturisanje'!$L$1:$L$50)),ROW(E10))),"")</f>
        <v/>
      </c>
      <c r="G24" s="33" t="str">
        <f t="shared" si="0"/>
        <v/>
      </c>
      <c r="H24" s="31" t="str">
        <f>IF(B24="","",VLOOKUP($C$12,kupci!$A:$J,6,FALSE))</f>
        <v/>
      </c>
      <c r="I24" s="41" t="str">
        <f t="shared" si="1"/>
        <v/>
      </c>
      <c r="J24" s="33" t="str">
        <f t="shared" si="2"/>
        <v/>
      </c>
      <c r="K24" s="33" t="str">
        <f t="shared" si="3"/>
        <v/>
      </c>
    </row>
    <row r="25" spans="1:12">
      <c r="A25" s="31" t="str">
        <f>IF(B25="","","11")</f>
        <v/>
      </c>
      <c r="B25" s="79" t="str">
        <f t="array" ref="B25">IFERROR(INDEX('Za fakturisanje'!$B$1:$B$50,SMALL(IF(ISNUMBER('Za fakturisanje'!$L$1:$L$50),ROW('Za fakturisanje'!$L$1:$L$50)),ROW(E11))),"")</f>
        <v/>
      </c>
      <c r="C25" s="48"/>
      <c r="D25" s="88" t="str">
        <f t="array" ref="D25">IFERROR(INDEX('Za fakturisanje'!$C$1:$C$50,SMALL(IF(ISNUMBER('Za fakturisanje'!$L$1:$L$50),ROW('Za fakturisanje'!$L$1:$L$50)),ROW(E11))),"")</f>
        <v/>
      </c>
      <c r="E25" s="31" t="str">
        <f t="array" ref="E25">IFERROR(INDEX('Za fakturisanje'!$L$1:$L$50,SMALL(IF(ISNUMBER('Za fakturisanje'!$L$1:$L$50),ROW('Za fakturisanje'!$L$1:$L$50)),ROW(E11))),"")</f>
        <v/>
      </c>
      <c r="F25" s="41" t="str">
        <f t="array" ref="F25">IFERROR(INDEX('Za fakturisanje'!$E$1:$E$50,SMALL(IF(ISNUMBER('Za fakturisanje'!$L$1:$L$50),ROW('Za fakturisanje'!$L$1:$L$50)),ROW(E11))),"")</f>
        <v/>
      </c>
      <c r="G25" s="33" t="str">
        <f t="shared" si="0"/>
        <v/>
      </c>
      <c r="H25" s="31" t="str">
        <f>IF(B25="","",VLOOKUP($C$12,kupci!$A:$J,6,FALSE))</f>
        <v/>
      </c>
      <c r="I25" s="41" t="str">
        <f t="shared" si="1"/>
        <v/>
      </c>
      <c r="J25" s="33" t="str">
        <f t="shared" si="2"/>
        <v/>
      </c>
      <c r="K25" s="33" t="str">
        <f t="shared" si="3"/>
        <v/>
      </c>
    </row>
    <row r="26" spans="1:12">
      <c r="A26" s="31" t="str">
        <f>IF(B26="","","12")</f>
        <v/>
      </c>
      <c r="B26" s="79" t="str">
        <f t="array" ref="B26">IFERROR(INDEX('Za fakturisanje'!$B$1:$B$50,SMALL(IF(ISNUMBER('Za fakturisanje'!$L$1:$L$50),ROW('Za fakturisanje'!$L$1:$L$50)),ROW(E12))),"")</f>
        <v/>
      </c>
      <c r="C26" s="49"/>
      <c r="D26" s="88" t="str">
        <f t="array" ref="D26">IFERROR(INDEX('Za fakturisanje'!$C$1:$C$50,SMALL(IF(ISNUMBER('Za fakturisanje'!$L$1:$L$50),ROW('Za fakturisanje'!$L$1:$L$50)),ROW(E12))),"")</f>
        <v/>
      </c>
      <c r="E26" s="31" t="str">
        <f t="array" ref="E26">IFERROR(INDEX('Za fakturisanje'!$L$1:$L$50,SMALL(IF(ISNUMBER('Za fakturisanje'!$L$1:$L$50),ROW('Za fakturisanje'!$L$1:$L$50)),ROW(E12))),"")</f>
        <v/>
      </c>
      <c r="F26" s="41" t="str">
        <f t="array" ref="F26">IFERROR(INDEX('Za fakturisanje'!$E$1:$E$50,SMALL(IF(ISNUMBER('Za fakturisanje'!$L$1:$L$50),ROW('Za fakturisanje'!$L$1:$L$50)),ROW(E12))),"")</f>
        <v/>
      </c>
      <c r="G26" s="33" t="str">
        <f t="shared" si="0"/>
        <v/>
      </c>
      <c r="H26" s="31" t="str">
        <f>IF(B26="","",VLOOKUP($C$12,kupci!$A:$J,6,FALSE))</f>
        <v/>
      </c>
      <c r="I26" s="41" t="str">
        <f t="shared" si="1"/>
        <v/>
      </c>
      <c r="J26" s="33" t="str">
        <f t="shared" si="2"/>
        <v/>
      </c>
      <c r="K26" s="33" t="str">
        <f t="shared" si="3"/>
        <v/>
      </c>
    </row>
    <row r="27" spans="1:12">
      <c r="A27" s="31" t="str">
        <f>IF(B27="","","13")</f>
        <v/>
      </c>
      <c r="B27" s="79" t="str">
        <f t="array" ref="B27">IFERROR(INDEX('Za fakturisanje'!$B$1:$B$50,SMALL(IF(ISNUMBER('Za fakturisanje'!$L$1:$L$50),ROW('Za fakturisanje'!$L$1:$L$50)),ROW(E13))),"")</f>
        <v/>
      </c>
      <c r="C27" s="50"/>
      <c r="D27" s="88" t="str">
        <f t="array" ref="D27">IFERROR(INDEX('Za fakturisanje'!$C$1:$C$50,SMALL(IF(ISNUMBER('Za fakturisanje'!$L$1:$L$50),ROW('Za fakturisanje'!$L$1:$L$50)),ROW(E13))),"")</f>
        <v/>
      </c>
      <c r="E27" s="31" t="str">
        <f t="array" ref="E27">IFERROR(INDEX('Za fakturisanje'!$L$1:$L$50,SMALL(IF(ISNUMBER('Za fakturisanje'!$L$1:$L$50),ROW('Za fakturisanje'!$L$1:$L$50)),ROW(E13))),"")</f>
        <v/>
      </c>
      <c r="F27" s="41" t="str">
        <f t="array" ref="F27">IFERROR(INDEX('Za fakturisanje'!$E$1:$E$50,SMALL(IF(ISNUMBER('Za fakturisanje'!$L$1:$L$50),ROW('Za fakturisanje'!$L$1:$L$50)),ROW(E13))),"")</f>
        <v/>
      </c>
      <c r="G27" s="33" t="str">
        <f t="shared" si="0"/>
        <v/>
      </c>
      <c r="H27" s="31"/>
      <c r="I27" s="41" t="str">
        <f t="shared" si="1"/>
        <v/>
      </c>
      <c r="J27" s="33" t="str">
        <f t="shared" si="2"/>
        <v/>
      </c>
      <c r="K27" s="33" t="str">
        <f t="shared" si="3"/>
        <v/>
      </c>
    </row>
    <row r="28" spans="1:12">
      <c r="A28" s="31"/>
      <c r="B28" s="196"/>
      <c r="C28" s="197"/>
      <c r="D28" s="32"/>
      <c r="E28" s="36">
        <f>SUM(E15:E27)</f>
        <v>16</v>
      </c>
      <c r="F28" s="34"/>
      <c r="G28" s="33">
        <f>SUM(G15:G27)</f>
        <v>59.46</v>
      </c>
      <c r="H28" s="36"/>
      <c r="I28" s="34">
        <f>SUM(I15:I27)</f>
        <v>11.891999999999999</v>
      </c>
      <c r="J28" s="34">
        <f>+G28-I28</f>
        <v>47.567999999999998</v>
      </c>
      <c r="K28" s="34">
        <f>+J28*1.17</f>
        <v>55.654559999999996</v>
      </c>
    </row>
    <row r="29" spans="1:12">
      <c r="A29" s="37"/>
      <c r="B29" s="38"/>
      <c r="C29" s="38"/>
      <c r="D29" s="38"/>
      <c r="E29" s="38"/>
      <c r="F29" s="38"/>
      <c r="G29" s="38"/>
      <c r="H29" s="38"/>
      <c r="I29" s="38"/>
      <c r="J29" s="39"/>
      <c r="K29" s="39"/>
    </row>
    <row r="30" spans="1:12">
      <c r="A30" s="37"/>
      <c r="B30" s="38"/>
      <c r="C30" s="38"/>
      <c r="D30" s="38"/>
      <c r="E30" s="38"/>
      <c r="F30" s="38"/>
      <c r="G30" s="78" t="s">
        <v>302</v>
      </c>
      <c r="H30" s="32"/>
      <c r="I30" s="40"/>
      <c r="J30" s="70"/>
      <c r="K30" s="72">
        <f>TRUNC(ROUND(+G28*1,2),2)</f>
        <v>59.46</v>
      </c>
      <c r="L30" s="74" t="s">
        <v>303</v>
      </c>
    </row>
    <row r="31" spans="1:12">
      <c r="A31" s="37"/>
      <c r="B31" s="38"/>
      <c r="C31" s="38"/>
      <c r="D31" s="38"/>
      <c r="E31" s="38"/>
      <c r="F31" s="38"/>
      <c r="G31" s="79" t="s">
        <v>304</v>
      </c>
      <c r="H31" s="67"/>
      <c r="I31" s="68"/>
      <c r="J31" s="69"/>
      <c r="K31" s="69">
        <f>TRUNC(ROUND(+I28*1,2),2)</f>
        <v>11.89</v>
      </c>
      <c r="L31" s="75" t="s">
        <v>303</v>
      </c>
    </row>
    <row r="32" spans="1:12">
      <c r="A32" s="37"/>
      <c r="B32" s="38"/>
      <c r="C32" s="38"/>
      <c r="D32" s="38"/>
      <c r="E32" s="38"/>
      <c r="F32" s="38"/>
      <c r="G32" s="78" t="s">
        <v>305</v>
      </c>
      <c r="H32" s="32"/>
      <c r="I32" s="71"/>
      <c r="J32" s="72"/>
      <c r="K32" s="72">
        <f>TRUNC(ROUND(+J28*1,2),2)</f>
        <v>47.57</v>
      </c>
      <c r="L32" s="74" t="s">
        <v>303</v>
      </c>
    </row>
    <row r="33" spans="1:12">
      <c r="A33" s="37"/>
      <c r="B33" s="38"/>
      <c r="C33" s="38"/>
      <c r="D33" s="38"/>
      <c r="E33" s="38"/>
      <c r="F33" s="38"/>
      <c r="G33" s="79" t="s">
        <v>306</v>
      </c>
      <c r="H33" s="67"/>
      <c r="I33" s="68"/>
      <c r="J33" s="69"/>
      <c r="K33" s="69">
        <f>TRUNC(ROUND(K28-J28,2),2)</f>
        <v>8.09</v>
      </c>
      <c r="L33" s="75" t="s">
        <v>303</v>
      </c>
    </row>
    <row r="34" spans="1:12" ht="15.6">
      <c r="B34" s="38"/>
      <c r="C34" s="38"/>
      <c r="D34" s="38"/>
      <c r="E34" s="38"/>
      <c r="F34" s="38"/>
      <c r="G34" s="80" t="s">
        <v>307</v>
      </c>
      <c r="H34" s="42"/>
      <c r="I34" s="43"/>
      <c r="J34" s="73"/>
      <c r="K34" s="76">
        <f>TRUNC(ROUND(+K32+K33,2),2)</f>
        <v>55.66</v>
      </c>
      <c r="L34" s="77" t="s">
        <v>303</v>
      </c>
    </row>
    <row r="43" spans="1:12">
      <c r="B43" s="10" t="s">
        <v>308</v>
      </c>
      <c r="H43" s="10" t="s">
        <v>288</v>
      </c>
    </row>
  </sheetData>
  <sheetProtection sheet="1" objects="1" scenarios="1"/>
  <mergeCells count="10">
    <mergeCell ref="H12:I12"/>
    <mergeCell ref="J12:K12"/>
    <mergeCell ref="B14:C14"/>
    <mergeCell ref="B28:C28"/>
    <mergeCell ref="J1:K1"/>
    <mergeCell ref="J2:K2"/>
    <mergeCell ref="J3:K3"/>
    <mergeCell ref="J4:K4"/>
    <mergeCell ref="H11:I11"/>
    <mergeCell ref="J11:K11"/>
  </mergeCells>
  <pageMargins left="0.62992125984251968" right="0.23622047244094491" top="0.74803149606299213" bottom="0.74803149606299213" header="0.31496062992125984" footer="0.31496062992125984"/>
  <pageSetup paperSize="9" orientation="portrait" horizontalDpi="4294967293" vertic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49FA-DBF1-497E-82CE-03E8212CC1B5}">
  <sheetPr codeName="Sheet13"/>
  <dimension ref="A1:L43"/>
  <sheetViews>
    <sheetView zoomScaleNormal="100" workbookViewId="0">
      <selection activeCell="J1" sqref="J1:K1"/>
    </sheetView>
  </sheetViews>
  <sheetFormatPr defaultRowHeight="14.45"/>
  <cols>
    <col min="1" max="1" width="3.28515625" style="9" customWidth="1"/>
    <col min="2" max="2" width="14.28515625" style="10" customWidth="1"/>
    <col min="3" max="3" width="15.5703125" style="10" customWidth="1"/>
    <col min="4" max="4" width="5.140625" style="10" bestFit="1" customWidth="1"/>
    <col min="5" max="5" width="5.140625" style="10" customWidth="1"/>
    <col min="6" max="6" width="5.5703125" style="10" customWidth="1"/>
    <col min="7" max="7" width="8" style="10" customWidth="1"/>
    <col min="8" max="8" width="3.7109375" style="10" customWidth="1"/>
    <col min="9" max="9" width="5.7109375" style="29" customWidth="1"/>
    <col min="10" max="10" width="7.42578125" style="10" customWidth="1"/>
    <col min="11" max="11" width="10.28515625" style="10" customWidth="1"/>
    <col min="12" max="12" width="3.42578125" style="10" customWidth="1"/>
  </cols>
  <sheetData>
    <row r="1" spans="1:12">
      <c r="G1" s="82" t="s">
        <v>278</v>
      </c>
      <c r="H1" s="82"/>
      <c r="I1" s="11"/>
      <c r="J1" s="204">
        <f>'Za KIF-a'!E9</f>
        <v>22193</v>
      </c>
      <c r="K1" s="204"/>
    </row>
    <row r="2" spans="1:12">
      <c r="G2" s="81" t="s">
        <v>279</v>
      </c>
      <c r="H2" s="81"/>
      <c r="I2" s="11"/>
      <c r="J2" s="194">
        <f>'Za KIF-a'!D9</f>
        <v>1206</v>
      </c>
      <c r="K2" s="194"/>
    </row>
    <row r="3" spans="1:12">
      <c r="G3" s="81" t="s">
        <v>212</v>
      </c>
      <c r="H3" s="81"/>
      <c r="I3" s="13"/>
      <c r="J3" s="195">
        <f ca="1">'Za KIF-a'!L1</f>
        <v>44635</v>
      </c>
      <c r="K3" s="195"/>
    </row>
    <row r="4" spans="1:12">
      <c r="G4" s="81" t="s">
        <v>214</v>
      </c>
      <c r="H4" s="81"/>
      <c r="I4" s="13"/>
      <c r="J4" s="195">
        <f ca="1">'Za KIF-a'!L2</f>
        <v>44636</v>
      </c>
      <c r="K4" s="195"/>
    </row>
    <row r="5" spans="1:12">
      <c r="G5" s="81" t="s">
        <v>280</v>
      </c>
      <c r="H5" s="81"/>
      <c r="I5" s="13"/>
      <c r="J5" s="14" t="str">
        <f>VLOOKUP($C$12,kupci!$A:$J,7,FALSE)</f>
        <v>7 dana</v>
      </c>
      <c r="K5" s="14"/>
    </row>
    <row r="6" spans="1:12">
      <c r="B6" s="15" t="s">
        <v>281</v>
      </c>
      <c r="C6" s="16"/>
      <c r="D6" s="15"/>
      <c r="E6" s="16"/>
      <c r="F6" s="16" t="s">
        <v>282</v>
      </c>
      <c r="G6" s="16"/>
      <c r="H6" s="16"/>
      <c r="I6" s="16"/>
      <c r="J6" s="17"/>
      <c r="K6" s="16"/>
    </row>
    <row r="7" spans="1:12">
      <c r="B7" s="15" t="s">
        <v>283</v>
      </c>
      <c r="C7" s="16"/>
      <c r="D7" s="15"/>
      <c r="E7" s="16"/>
      <c r="F7" s="16" t="s">
        <v>284</v>
      </c>
      <c r="G7" s="16"/>
      <c r="H7" s="16"/>
      <c r="I7" s="16"/>
      <c r="J7" s="17"/>
      <c r="K7" s="16"/>
    </row>
    <row r="8" spans="1:12">
      <c r="B8" s="15" t="s">
        <v>14</v>
      </c>
      <c r="C8" s="16"/>
      <c r="D8" s="15"/>
      <c r="E8" s="16"/>
      <c r="F8" s="15" t="s">
        <v>285</v>
      </c>
      <c r="G8" s="16"/>
      <c r="H8" s="16"/>
      <c r="I8" s="16"/>
      <c r="J8" s="17"/>
      <c r="K8" s="16"/>
    </row>
    <row r="9" spans="1:12">
      <c r="B9" s="18" t="s">
        <v>286</v>
      </c>
      <c r="C9" s="19"/>
      <c r="D9" s="18"/>
      <c r="E9" s="19"/>
      <c r="F9" s="20" t="s">
        <v>287</v>
      </c>
      <c r="G9" s="19"/>
      <c r="H9" s="19"/>
      <c r="I9" s="19"/>
      <c r="J9" s="21"/>
      <c r="K9" s="19"/>
    </row>
    <row r="10" spans="1:12">
      <c r="B10" s="22" t="s">
        <v>288</v>
      </c>
      <c r="C10" s="28" t="str">
        <f>VLOOKUP($C$12,kupci!$A:$J,2,FALSE)</f>
        <v xml:space="preserve">Lounge bar "Shane" Nedeljko Bakula </v>
      </c>
      <c r="D10" s="24"/>
      <c r="E10" s="24"/>
      <c r="F10" s="23"/>
      <c r="G10" s="25"/>
      <c r="H10" s="25"/>
      <c r="I10" s="26"/>
      <c r="J10" s="25"/>
      <c r="K10" s="25"/>
    </row>
    <row r="11" spans="1:12">
      <c r="B11" s="27" t="s">
        <v>289</v>
      </c>
      <c r="C11" s="28" t="str">
        <f>VLOOKUP($C$12,kupci!$A:$J,3,FALSE)</f>
        <v>I.Ilidža 71213</v>
      </c>
      <c r="D11" s="28"/>
      <c r="E11" s="28"/>
      <c r="F11" s="28"/>
      <c r="H11" s="200" t="str">
        <f>IF(J11="*", "",  "PDV broj")</f>
        <v>PDV broj</v>
      </c>
      <c r="I11" s="200"/>
      <c r="J11" s="198" t="str">
        <f>VLOOKUP($C$12,kupci!$A:$J,4,FALSE)</f>
        <v>511428370006</v>
      </c>
      <c r="K11" s="198"/>
    </row>
    <row r="12" spans="1:12">
      <c r="B12" s="27" t="s">
        <v>290</v>
      </c>
      <c r="C12" s="23" t="str">
        <f>'Za fakturisanje'!M$2</f>
        <v>Shane, Akademika Petra Mandića 17</v>
      </c>
      <c r="D12" s="28"/>
      <c r="E12" s="28"/>
      <c r="F12" s="28"/>
      <c r="H12" s="201" t="str">
        <f>IF(J12="*", "",  "ID broj")</f>
        <v>ID broj</v>
      </c>
      <c r="I12" s="201"/>
      <c r="J12" s="199" t="str">
        <f>VLOOKUP($C$12,kupci!$A:$J,5,FALSE)</f>
        <v>4511428370006</v>
      </c>
      <c r="K12" s="199"/>
    </row>
    <row r="13" spans="1:12">
      <c r="C13" s="9"/>
      <c r="D13" s="9"/>
      <c r="K13" s="10" t="s">
        <v>291</v>
      </c>
    </row>
    <row r="14" spans="1:12" s="35" customFormat="1" ht="39.6" customHeight="1">
      <c r="A14" s="54" t="s">
        <v>292</v>
      </c>
      <c r="B14" s="202" t="s">
        <v>293</v>
      </c>
      <c r="C14" s="203"/>
      <c r="D14" s="30" t="s">
        <v>294</v>
      </c>
      <c r="E14" s="55" t="s">
        <v>295</v>
      </c>
      <c r="F14" s="30" t="s">
        <v>296</v>
      </c>
      <c r="G14" s="30" t="s">
        <v>297</v>
      </c>
      <c r="H14" s="61" t="s">
        <v>298</v>
      </c>
      <c r="I14" s="30" t="s">
        <v>299</v>
      </c>
      <c r="J14" s="30" t="s">
        <v>300</v>
      </c>
      <c r="K14" s="30" t="s">
        <v>301</v>
      </c>
      <c r="L14" s="56"/>
    </row>
    <row r="15" spans="1:12">
      <c r="A15" s="31" t="str">
        <f>IF(B15="","","1")</f>
        <v>1</v>
      </c>
      <c r="B15" s="79" t="str">
        <f t="array" ref="B15">IFERROR(INDEX('Za fakturisanje'!$B$1:$B$50,SMALL(IF(ISNUMBER('Za fakturisanje'!$M$1:$M$50),ROW('Za fakturisanje'!$M$1:$M$50)),ROW(E1))),"")</f>
        <v>Mikropovrće Brokula</v>
      </c>
      <c r="C15" s="46"/>
      <c r="D15" s="88" t="str">
        <f t="array" ref="D15">IFERROR(INDEX('Za fakturisanje'!$C$1:$C$50,SMALL(IF(ISNUMBER('Za fakturisanje'!$M$1:$M$50),ROW('Za fakturisanje'!$M$1:$M$50)),ROW(E1))),"")</f>
        <v>kom</v>
      </c>
      <c r="E15" s="31">
        <f t="array" ref="E15">IFERROR(INDEX('Za fakturisanje'!$M$1:$M$50,SMALL(IF(ISNUMBER('Za fakturisanje'!$M$1:$M$50),ROW('Za fakturisanje'!$M$1:$M$50)),ROW(E1))),"")</f>
        <v>1</v>
      </c>
      <c r="F15" s="41">
        <f t="array" ref="F15">IFERROR(INDEX('Za fakturisanje'!$E$1:$E$50,SMALL(IF(ISNUMBER('Za fakturisanje'!$M$1:$M$50),ROW('Za fakturisanje'!$M$1:$M$50)),ROW(E1))),"")</f>
        <v>3.68</v>
      </c>
      <c r="G15" s="33">
        <f>IF(E15="", "",+E15*F15)</f>
        <v>3.68</v>
      </c>
      <c r="H15" s="31">
        <f>IF(B15="","",VLOOKUP($C$12,kupci!$A:$J,6,FALSE))</f>
        <v>0</v>
      </c>
      <c r="I15" s="41">
        <f>IF(B15="","",G15*H15/100)</f>
        <v>0</v>
      </c>
      <c r="J15" s="33">
        <f>IF(B15="", "",+G15-I15)</f>
        <v>3.68</v>
      </c>
      <c r="K15" s="33">
        <f>IF(B15="", "",+J15*1.17)</f>
        <v>4.3056000000000001</v>
      </c>
    </row>
    <row r="16" spans="1:12">
      <c r="A16" s="31" t="str">
        <f>IF(B16="","","2")</f>
        <v>2</v>
      </c>
      <c r="B16" s="79" t="str">
        <f t="array" ref="B16">IFERROR(INDEX('Za fakturisanje'!$B$1:$B$50,SMALL(IF(ISNUMBER('Za fakturisanje'!$M$1:$M$50),ROW('Za fakturisanje'!$M$1:$M$50)),ROW(E2))),"")</f>
        <v>Mikropovrće Rukola</v>
      </c>
      <c r="C16" s="46"/>
      <c r="D16" s="88" t="str">
        <f t="array" ref="D16">IFERROR(INDEX('Za fakturisanje'!$C$1:$C$50,SMALL(IF(ISNUMBER('Za fakturisanje'!$M$1:$M$50),ROW('Za fakturisanje'!$M$1:$M$50)),ROW(E2))),"")</f>
        <v>kom</v>
      </c>
      <c r="E16" s="31">
        <f t="array" ref="E16">IFERROR(INDEX('Za fakturisanje'!$M$1:$M$50,SMALL(IF(ISNUMBER('Za fakturisanje'!$M$1:$M$50),ROW('Za fakturisanje'!$M$1:$M$50)),ROW(E2))),"")</f>
        <v>1</v>
      </c>
      <c r="F16" s="41">
        <f t="array" ref="F16">IFERROR(INDEX('Za fakturisanje'!$E$1:$E$50,SMALL(IF(ISNUMBER('Za fakturisanje'!$M$1:$M$50),ROW('Za fakturisanje'!$M$1:$M$50)),ROW(E2))),"")</f>
        <v>3.68</v>
      </c>
      <c r="G16" s="33">
        <f t="shared" ref="G16:G27" si="0">IF(E16="", "",+E16*F16)</f>
        <v>3.68</v>
      </c>
      <c r="H16" s="31">
        <f>IF(B16="","",VLOOKUP($C$12,kupci!$A:$J,6,FALSE))</f>
        <v>0</v>
      </c>
      <c r="I16" s="41">
        <f t="shared" ref="I16:I27" si="1">IF(B16="","",G16*H16/100)</f>
        <v>0</v>
      </c>
      <c r="J16" s="33">
        <f t="shared" ref="J16:J27" si="2">IF(B16="", "",+G16-I16)</f>
        <v>3.68</v>
      </c>
      <c r="K16" s="33">
        <f t="shared" ref="K16:K27" si="3">IF(B16="", "",+J16*1.17)</f>
        <v>4.3056000000000001</v>
      </c>
    </row>
    <row r="17" spans="1:12">
      <c r="A17" s="31" t="str">
        <f>IF(B17="","","3")</f>
        <v>3</v>
      </c>
      <c r="B17" s="79" t="str">
        <f t="array" ref="B17">IFERROR(INDEX('Za fakturisanje'!$B$1:$B$50,SMALL(IF(ISNUMBER('Za fakturisanje'!$M$1:$M$50),ROW('Za fakturisanje'!$M$1:$M$50)),ROW(E3))),"")</f>
        <v>Mikropovrće china rose</v>
      </c>
      <c r="C17" s="46"/>
      <c r="D17" s="88" t="str">
        <f t="array" ref="D17">IFERROR(INDEX('Za fakturisanje'!$C$1:$C$50,SMALL(IF(ISNUMBER('Za fakturisanje'!$M$1:$M$50),ROW('Za fakturisanje'!$M$1:$M$50)),ROW(E3))),"")</f>
        <v>kom</v>
      </c>
      <c r="E17" s="31">
        <f t="array" ref="E17">IFERROR(INDEX('Za fakturisanje'!$M$1:$M$50,SMALL(IF(ISNUMBER('Za fakturisanje'!$M$1:$M$50),ROW('Za fakturisanje'!$M$1:$M$50)),ROW(E3))),"")</f>
        <v>1</v>
      </c>
      <c r="F17" s="41">
        <f t="array" ref="F17">IFERROR(INDEX('Za fakturisanje'!$E$1:$E$50,SMALL(IF(ISNUMBER('Za fakturisanje'!$M$1:$M$50),ROW('Za fakturisanje'!$M$1:$M$50)),ROW(E3))),"")</f>
        <v>3.68</v>
      </c>
      <c r="G17" s="33">
        <f t="shared" si="0"/>
        <v>3.68</v>
      </c>
      <c r="H17" s="31">
        <f>IF(B17="","",VLOOKUP($C$12,kupci!$A:$J,6,FALSE))</f>
        <v>0</v>
      </c>
      <c r="I17" s="41">
        <f t="shared" si="1"/>
        <v>0</v>
      </c>
      <c r="J17" s="33">
        <f t="shared" si="2"/>
        <v>3.68</v>
      </c>
      <c r="K17" s="33">
        <f t="shared" si="3"/>
        <v>4.3056000000000001</v>
      </c>
    </row>
    <row r="18" spans="1:12">
      <c r="A18" s="31" t="str">
        <f>IF(B18="","","4")</f>
        <v>4</v>
      </c>
      <c r="B18" s="79" t="str">
        <f t="array" ref="B18">IFERROR(INDEX('Za fakturisanje'!$B$1:$B$50,SMALL(IF(ISNUMBER('Za fakturisanje'!$M$1:$M$50),ROW('Za fakturisanje'!$M$1:$M$50)),ROW(E4))),"")</f>
        <v>Mikropovrće vulcano</v>
      </c>
      <c r="C18" s="46"/>
      <c r="D18" s="88" t="str">
        <f t="array" ref="D18">IFERROR(INDEX('Za fakturisanje'!$C$1:$C$50,SMALL(IF(ISNUMBER('Za fakturisanje'!$M$1:$M$50),ROW('Za fakturisanje'!$M$1:$M$50)),ROW(E4))),"")</f>
        <v>kom</v>
      </c>
      <c r="E18" s="31">
        <f t="array" ref="E18">IFERROR(INDEX('Za fakturisanje'!$M$1:$M$50,SMALL(IF(ISNUMBER('Za fakturisanje'!$M$1:$M$50),ROW('Za fakturisanje'!$M$1:$M$50)),ROW(E4))),"")</f>
        <v>1</v>
      </c>
      <c r="F18" s="41">
        <f t="array" ref="F18">IFERROR(INDEX('Za fakturisanje'!$E$1:$E$50,SMALL(IF(ISNUMBER('Za fakturisanje'!$M$1:$M$50),ROW('Za fakturisanje'!$M$1:$M$50)),ROW(E4))),"")</f>
        <v>4.2</v>
      </c>
      <c r="G18" s="33">
        <f t="shared" si="0"/>
        <v>4.2</v>
      </c>
      <c r="H18" s="31">
        <f>IF(B18="","",VLOOKUP($C$12,kupci!$A:$J,6,FALSE))</f>
        <v>0</v>
      </c>
      <c r="I18" s="41">
        <f t="shared" si="1"/>
        <v>0</v>
      </c>
      <c r="J18" s="33">
        <f t="shared" si="2"/>
        <v>4.2</v>
      </c>
      <c r="K18" s="33">
        <f t="shared" si="3"/>
        <v>4.9139999999999997</v>
      </c>
    </row>
    <row r="19" spans="1:12">
      <c r="A19" s="31" t="str">
        <f>IF(B19="","","5")</f>
        <v>5</v>
      </c>
      <c r="B19" s="79" t="str">
        <f t="array" ref="B19">IFERROR(INDEX('Za fakturisanje'!$B$1:$B$50,SMALL(IF(ISNUMBER('Za fakturisanje'!$M$1:$M$50),ROW('Za fakturisanje'!$M$1:$M$50)),ROW(E5))),"")</f>
        <v>Mikropovrće suncokret</v>
      </c>
      <c r="C19" s="53"/>
      <c r="D19" s="88" t="str">
        <f t="array" ref="D19">IFERROR(INDEX('Za fakturisanje'!$C$1:$C$50,SMALL(IF(ISNUMBER('Za fakturisanje'!$M$1:$M$50),ROW('Za fakturisanje'!$M$1:$M$50)),ROW(E5))),"")</f>
        <v>kom</v>
      </c>
      <c r="E19" s="31">
        <f t="array" ref="E19">IFERROR(INDEX('Za fakturisanje'!$M$1:$M$50,SMALL(IF(ISNUMBER('Za fakturisanje'!$M$1:$M$50),ROW('Za fakturisanje'!$M$1:$M$50)),ROW(E5))),"")</f>
        <v>2</v>
      </c>
      <c r="F19" s="41">
        <f t="array" ref="F19">IFERROR(INDEX('Za fakturisanje'!$E$1:$E$50,SMALL(IF(ISNUMBER('Za fakturisanje'!$M$1:$M$50),ROW('Za fakturisanje'!$M$1:$M$50)),ROW(E5))),"")</f>
        <v>3.68</v>
      </c>
      <c r="G19" s="33">
        <f t="shared" si="0"/>
        <v>7.36</v>
      </c>
      <c r="H19" s="31">
        <f>IF(B19="","",VLOOKUP($C$12,kupci!$A:$J,6,FALSE))</f>
        <v>0</v>
      </c>
      <c r="I19" s="41">
        <f t="shared" si="1"/>
        <v>0</v>
      </c>
      <c r="J19" s="33">
        <f t="shared" si="2"/>
        <v>7.36</v>
      </c>
      <c r="K19" s="33">
        <f t="shared" si="3"/>
        <v>8.6112000000000002</v>
      </c>
    </row>
    <row r="20" spans="1:12">
      <c r="A20" s="31" t="str">
        <f>IF(B20="","","6")</f>
        <v/>
      </c>
      <c r="B20" s="79" t="str">
        <f t="array" ref="B20">IFERROR(INDEX('Za fakturisanje'!$B$1:$B$50,SMALL(IF(ISNUMBER('Za fakturisanje'!$M$1:$M$50),ROW('Za fakturisanje'!$M$1:$M$50)),ROW(E6))),"")</f>
        <v/>
      </c>
      <c r="C20" s="48"/>
      <c r="D20" s="88" t="str">
        <f t="array" ref="D20">IFERROR(INDEX('Za fakturisanje'!$C$1:$C$50,SMALL(IF(ISNUMBER('Za fakturisanje'!$M$1:$M$50),ROW('Za fakturisanje'!$M$1:$M$50)),ROW(E6))),"")</f>
        <v/>
      </c>
      <c r="E20" s="31" t="str">
        <f t="array" ref="E20">IFERROR(INDEX('Za fakturisanje'!$M$1:$M$50,SMALL(IF(ISNUMBER('Za fakturisanje'!$M$1:$M$50),ROW('Za fakturisanje'!$M$1:$M$50)),ROW(E6))),"")</f>
        <v/>
      </c>
      <c r="F20" s="41" t="str">
        <f t="array" ref="F20">IFERROR(INDEX('Za fakturisanje'!$E$1:$E$50,SMALL(IF(ISNUMBER('Za fakturisanje'!$M$1:$M$50),ROW('Za fakturisanje'!$M$1:$M$50)),ROW(E6))),"")</f>
        <v/>
      </c>
      <c r="G20" s="33" t="str">
        <f t="shared" si="0"/>
        <v/>
      </c>
      <c r="H20" s="31" t="str">
        <f>IF(B20="","",VLOOKUP($C$12,kupci!$A:$J,6,FALSE))</f>
        <v/>
      </c>
      <c r="I20" s="41" t="str">
        <f t="shared" si="1"/>
        <v/>
      </c>
      <c r="J20" s="33" t="str">
        <f t="shared" si="2"/>
        <v/>
      </c>
      <c r="K20" s="33" t="str">
        <f t="shared" si="3"/>
        <v/>
      </c>
    </row>
    <row r="21" spans="1:12">
      <c r="A21" s="31" t="str">
        <f>IF(B21="","","7")</f>
        <v/>
      </c>
      <c r="B21" s="79" t="str">
        <f t="array" ref="B21">IFERROR(INDEX('Za fakturisanje'!$B$1:$B$50,SMALL(IF(ISNUMBER('Za fakturisanje'!$M$1:$M$50),ROW('Za fakturisanje'!$M$1:$M$50)),ROW(E7))),"")</f>
        <v/>
      </c>
      <c r="C21" s="49"/>
      <c r="D21" s="88" t="str">
        <f t="array" ref="D21">IFERROR(INDEX('Za fakturisanje'!$C$1:$C$50,SMALL(IF(ISNUMBER('Za fakturisanje'!$M$1:$M$50),ROW('Za fakturisanje'!$M$1:$M$50)),ROW(E7))),"")</f>
        <v/>
      </c>
      <c r="E21" s="31" t="str">
        <f t="array" ref="E21">IFERROR(INDEX('Za fakturisanje'!$M$1:$M$50,SMALL(IF(ISNUMBER('Za fakturisanje'!$M$1:$M$50),ROW('Za fakturisanje'!$M$1:$M$50)),ROW(E7))),"")</f>
        <v/>
      </c>
      <c r="F21" s="41" t="str">
        <f t="array" ref="F21">IFERROR(INDEX('Za fakturisanje'!$E$1:$E$50,SMALL(IF(ISNUMBER('Za fakturisanje'!$M$1:$M$50),ROW('Za fakturisanje'!$M$1:$M$50)),ROW(E7))),"")</f>
        <v/>
      </c>
      <c r="G21" s="33" t="str">
        <f t="shared" si="0"/>
        <v/>
      </c>
      <c r="H21" s="31" t="str">
        <f>IF(B21="","",VLOOKUP($C$12,kupci!$A:$J,6,FALSE))</f>
        <v/>
      </c>
      <c r="I21" s="41" t="str">
        <f t="shared" si="1"/>
        <v/>
      </c>
      <c r="J21" s="33" t="str">
        <f t="shared" si="2"/>
        <v/>
      </c>
      <c r="K21" s="33" t="str">
        <f t="shared" si="3"/>
        <v/>
      </c>
    </row>
    <row r="22" spans="1:12">
      <c r="A22" s="31" t="str">
        <f>IF(B22="","","8")</f>
        <v/>
      </c>
      <c r="B22" s="79" t="str">
        <f t="array" ref="B22">IFERROR(INDEX('Za fakturisanje'!$B$1:$B$50,SMALL(IF(ISNUMBER('Za fakturisanje'!$M$1:$M$50),ROW('Za fakturisanje'!$M$1:$M$50)),ROW(E8))),"")</f>
        <v/>
      </c>
      <c r="C22" s="49"/>
      <c r="D22" s="88" t="str">
        <f t="array" ref="D22">IFERROR(INDEX('Za fakturisanje'!$C$1:$C$50,SMALL(IF(ISNUMBER('Za fakturisanje'!$M$1:$M$50),ROW('Za fakturisanje'!$M$1:$M$50)),ROW(E8))),"")</f>
        <v/>
      </c>
      <c r="E22" s="31" t="str">
        <f t="array" ref="E22">IFERROR(INDEX('Za fakturisanje'!$M$1:$M$50,SMALL(IF(ISNUMBER('Za fakturisanje'!$M$1:$M$50),ROW('Za fakturisanje'!$M$1:$M$50)),ROW(E8))),"")</f>
        <v/>
      </c>
      <c r="F22" s="41" t="str">
        <f t="array" ref="F22">IFERROR(INDEX('Za fakturisanje'!$E$1:$E$50,SMALL(IF(ISNUMBER('Za fakturisanje'!$M$1:$M$50),ROW('Za fakturisanje'!$M$1:$M$50)),ROW(E8))),"")</f>
        <v/>
      </c>
      <c r="G22" s="33" t="str">
        <f t="shared" si="0"/>
        <v/>
      </c>
      <c r="H22" s="31" t="str">
        <f>IF(B22="","",VLOOKUP($C$12,kupci!$A:$J,6,FALSE))</f>
        <v/>
      </c>
      <c r="I22" s="41" t="str">
        <f t="shared" si="1"/>
        <v/>
      </c>
      <c r="J22" s="33" t="str">
        <f t="shared" si="2"/>
        <v/>
      </c>
      <c r="K22" s="33" t="str">
        <f t="shared" si="3"/>
        <v/>
      </c>
    </row>
    <row r="23" spans="1:12">
      <c r="A23" s="31" t="str">
        <f>IF(B23="","","9")</f>
        <v/>
      </c>
      <c r="B23" s="79" t="str">
        <f t="array" ref="B23">IFERROR(INDEX('Za fakturisanje'!$B$1:$B$50,SMALL(IF(ISNUMBER('Za fakturisanje'!$M$1:$M$50),ROW('Za fakturisanje'!$M$1:$M$50)),ROW(E9))),"")</f>
        <v/>
      </c>
      <c r="C23" s="51"/>
      <c r="D23" s="88" t="str">
        <f t="array" ref="D23">IFERROR(INDEX('Za fakturisanje'!$C$1:$C$50,SMALL(IF(ISNUMBER('Za fakturisanje'!$M$1:$M$50),ROW('Za fakturisanje'!$M$1:$M$50)),ROW(E9))),"")</f>
        <v/>
      </c>
      <c r="E23" s="31" t="str">
        <f t="array" ref="E23">IFERROR(INDEX('Za fakturisanje'!$M$1:$M$50,SMALL(IF(ISNUMBER('Za fakturisanje'!$M$1:$M$50),ROW('Za fakturisanje'!$M$1:$M$50)),ROW(E9))),"")</f>
        <v/>
      </c>
      <c r="F23" s="41" t="str">
        <f t="array" ref="F23">IFERROR(INDEX('Za fakturisanje'!$E$1:$E$50,SMALL(IF(ISNUMBER('Za fakturisanje'!$M$1:$M$50),ROW('Za fakturisanje'!$M$1:$M$50)),ROW(E9))),"")</f>
        <v/>
      </c>
      <c r="G23" s="33" t="str">
        <f t="shared" si="0"/>
        <v/>
      </c>
      <c r="H23" s="31" t="str">
        <f>IF(B23="","",VLOOKUP($C$12,kupci!$A:$J,6,FALSE))</f>
        <v/>
      </c>
      <c r="I23" s="41" t="str">
        <f t="shared" si="1"/>
        <v/>
      </c>
      <c r="J23" s="33" t="str">
        <f t="shared" si="2"/>
        <v/>
      </c>
      <c r="K23" s="33" t="str">
        <f t="shared" si="3"/>
        <v/>
      </c>
    </row>
    <row r="24" spans="1:12">
      <c r="A24" s="31" t="str">
        <f>IF(B24="","","10")</f>
        <v/>
      </c>
      <c r="B24" s="79" t="str">
        <f t="array" ref="B24">IFERROR(INDEX('Za fakturisanje'!$B$1:$B$50,SMALL(IF(ISNUMBER('Za fakturisanje'!$M$1:$M$50),ROW('Za fakturisanje'!$M$1:$M$50)),ROW(E10))),"")</f>
        <v/>
      </c>
      <c r="C24" s="52"/>
      <c r="D24" s="88" t="str">
        <f t="array" ref="D24">IFERROR(INDEX('Za fakturisanje'!$C$1:$C$50,SMALL(IF(ISNUMBER('Za fakturisanje'!$M$1:$M$50),ROW('Za fakturisanje'!$M$1:$M$50)),ROW(E10))),"")</f>
        <v/>
      </c>
      <c r="E24" s="31" t="str">
        <f t="array" ref="E24">IFERROR(INDEX('Za fakturisanje'!$M$1:$M$50,SMALL(IF(ISNUMBER('Za fakturisanje'!$M$1:$M$50),ROW('Za fakturisanje'!$M$1:$M$50)),ROW(E10))),"")</f>
        <v/>
      </c>
      <c r="F24" s="41" t="str">
        <f t="array" ref="F24">IFERROR(INDEX('Za fakturisanje'!$E$1:$E$50,SMALL(IF(ISNUMBER('Za fakturisanje'!$M$1:$M$50),ROW('Za fakturisanje'!$M$1:$M$50)),ROW(E10))),"")</f>
        <v/>
      </c>
      <c r="G24" s="33" t="str">
        <f t="shared" si="0"/>
        <v/>
      </c>
      <c r="H24" s="31" t="str">
        <f>IF(B24="","",VLOOKUP($C$12,kupci!$A:$J,6,FALSE))</f>
        <v/>
      </c>
      <c r="I24" s="41" t="str">
        <f t="shared" si="1"/>
        <v/>
      </c>
      <c r="J24" s="33" t="str">
        <f t="shared" si="2"/>
        <v/>
      </c>
      <c r="K24" s="33" t="str">
        <f t="shared" si="3"/>
        <v/>
      </c>
    </row>
    <row r="25" spans="1:12">
      <c r="A25" s="31" t="str">
        <f>IF(B25="","","11")</f>
        <v/>
      </c>
      <c r="B25" s="79" t="str">
        <f t="array" ref="B25">IFERROR(INDEX('Za fakturisanje'!$B$1:$B$50,SMALL(IF(ISNUMBER('Za fakturisanje'!$M$1:$M$50),ROW('Za fakturisanje'!$M$1:$M$50)),ROW(E11))),"")</f>
        <v/>
      </c>
      <c r="C25" s="48"/>
      <c r="D25" s="88" t="str">
        <f t="array" ref="D25">IFERROR(INDEX('Za fakturisanje'!$C$1:$C$50,SMALL(IF(ISNUMBER('Za fakturisanje'!$M$1:$M$50),ROW('Za fakturisanje'!$M$1:$M$50)),ROW(E11))),"")</f>
        <v/>
      </c>
      <c r="E25" s="31" t="str">
        <f t="array" ref="E25">IFERROR(INDEX('Za fakturisanje'!$M$1:$M$50,SMALL(IF(ISNUMBER('Za fakturisanje'!$M$1:$M$50),ROW('Za fakturisanje'!$M$1:$M$50)),ROW(E11))),"")</f>
        <v/>
      </c>
      <c r="F25" s="41" t="str">
        <f t="array" ref="F25">IFERROR(INDEX('Za fakturisanje'!$E$1:$E$50,SMALL(IF(ISNUMBER('Za fakturisanje'!$M$1:$M$50),ROW('Za fakturisanje'!$M$1:$M$50)),ROW(E11))),"")</f>
        <v/>
      </c>
      <c r="G25" s="33" t="str">
        <f t="shared" si="0"/>
        <v/>
      </c>
      <c r="H25" s="31" t="str">
        <f>IF(B25="","",VLOOKUP($C$12,kupci!$A:$J,6,FALSE))</f>
        <v/>
      </c>
      <c r="I25" s="41" t="str">
        <f t="shared" si="1"/>
        <v/>
      </c>
      <c r="J25" s="33" t="str">
        <f t="shared" si="2"/>
        <v/>
      </c>
      <c r="K25" s="33" t="str">
        <f t="shared" si="3"/>
        <v/>
      </c>
    </row>
    <row r="26" spans="1:12">
      <c r="A26" s="31" t="str">
        <f>IF(B26="","","12")</f>
        <v/>
      </c>
      <c r="B26" s="79" t="str">
        <f t="array" ref="B26">IFERROR(INDEX('Za fakturisanje'!$B$1:$B$50,SMALL(IF(ISNUMBER('Za fakturisanje'!$M$1:$M$50),ROW('Za fakturisanje'!$M$1:$M$50)),ROW(E12))),"")</f>
        <v/>
      </c>
      <c r="C26" s="49"/>
      <c r="D26" s="88" t="str">
        <f t="array" ref="D26">IFERROR(INDEX('Za fakturisanje'!$C$1:$C$50,SMALL(IF(ISNUMBER('Za fakturisanje'!$M$1:$M$50),ROW('Za fakturisanje'!$M$1:$M$50)),ROW(E12))),"")</f>
        <v/>
      </c>
      <c r="E26" s="31" t="str">
        <f t="array" ref="E26">IFERROR(INDEX('Za fakturisanje'!$M$1:$M$50,SMALL(IF(ISNUMBER('Za fakturisanje'!$M$1:$M$50),ROW('Za fakturisanje'!$M$1:$M$50)),ROW(E12))),"")</f>
        <v/>
      </c>
      <c r="F26" s="41" t="str">
        <f t="array" ref="F26">IFERROR(INDEX('Za fakturisanje'!$E$1:$E$50,SMALL(IF(ISNUMBER('Za fakturisanje'!$M$1:$M$50),ROW('Za fakturisanje'!$M$1:$M$50)),ROW(E12))),"")</f>
        <v/>
      </c>
      <c r="G26" s="33" t="str">
        <f t="shared" si="0"/>
        <v/>
      </c>
      <c r="H26" s="31" t="str">
        <f>IF(B26="","",VLOOKUP($C$12,kupci!$A:$J,6,FALSE))</f>
        <v/>
      </c>
      <c r="I26" s="41" t="str">
        <f t="shared" si="1"/>
        <v/>
      </c>
      <c r="J26" s="33" t="str">
        <f t="shared" si="2"/>
        <v/>
      </c>
      <c r="K26" s="33" t="str">
        <f t="shared" si="3"/>
        <v/>
      </c>
    </row>
    <row r="27" spans="1:12">
      <c r="A27" s="31" t="str">
        <f>IF(B27="","","13")</f>
        <v/>
      </c>
      <c r="B27" s="79" t="str">
        <f t="array" ref="B27">IFERROR(INDEX('Za fakturisanje'!$B$1:$B$50,SMALL(IF(ISNUMBER('Za fakturisanje'!$M$1:$M$50),ROW('Za fakturisanje'!$M$1:$M$50)),ROW(E13))),"")</f>
        <v/>
      </c>
      <c r="C27" s="50"/>
      <c r="D27" s="88" t="str">
        <f t="array" ref="D27">IFERROR(INDEX('Za fakturisanje'!$C$1:$C$50,SMALL(IF(ISNUMBER('Za fakturisanje'!$M$1:$M$50),ROW('Za fakturisanje'!$M$1:$M$50)),ROW(E13))),"")</f>
        <v/>
      </c>
      <c r="E27" s="31" t="str">
        <f t="array" ref="E27">IFERROR(INDEX('Za fakturisanje'!$M$1:$M$50,SMALL(IF(ISNUMBER('Za fakturisanje'!$M$1:$M$50),ROW('Za fakturisanje'!$M$1:$M$50)),ROW(E13))),"")</f>
        <v/>
      </c>
      <c r="F27" s="41" t="str">
        <f t="array" ref="F27">IFERROR(INDEX('Za fakturisanje'!$E$1:$E$50,SMALL(IF(ISNUMBER('Za fakturisanje'!$M$1:$M$50),ROW('Za fakturisanje'!$M$1:$M$50)),ROW(E13))),"")</f>
        <v/>
      </c>
      <c r="G27" s="33" t="str">
        <f t="shared" si="0"/>
        <v/>
      </c>
      <c r="H27" s="31" t="str">
        <f>IF(B27="","",VLOOKUP($C$12,kupci!$A:$J,6,FALSE))</f>
        <v/>
      </c>
      <c r="I27" s="41" t="str">
        <f t="shared" si="1"/>
        <v/>
      </c>
      <c r="J27" s="33" t="str">
        <f t="shared" si="2"/>
        <v/>
      </c>
      <c r="K27" s="33" t="str">
        <f t="shared" si="3"/>
        <v/>
      </c>
    </row>
    <row r="28" spans="1:12">
      <c r="A28" s="31"/>
      <c r="B28" s="196"/>
      <c r="C28" s="197"/>
      <c r="D28" s="32"/>
      <c r="E28" s="36">
        <f>SUM(E15:E27)</f>
        <v>6</v>
      </c>
      <c r="F28" s="34"/>
      <c r="G28" s="33">
        <f>SUM(G15:G27)</f>
        <v>22.6</v>
      </c>
      <c r="H28" s="36"/>
      <c r="I28" s="34">
        <f>SUM(I15:I27)</f>
        <v>0</v>
      </c>
      <c r="J28" s="34">
        <f>+G28-I28</f>
        <v>22.6</v>
      </c>
      <c r="K28" s="34">
        <f>+J28*1.17</f>
        <v>26.442</v>
      </c>
    </row>
    <row r="29" spans="1:12">
      <c r="A29" s="37"/>
      <c r="B29" s="38"/>
      <c r="C29" s="38"/>
      <c r="D29" s="38"/>
      <c r="E29" s="38"/>
      <c r="F29" s="38"/>
      <c r="G29" s="38"/>
      <c r="H29" s="38"/>
      <c r="I29" s="38"/>
      <c r="J29" s="39"/>
      <c r="K29" s="39"/>
    </row>
    <row r="30" spans="1:12">
      <c r="A30" s="37"/>
      <c r="B30" s="38"/>
      <c r="C30" s="38"/>
      <c r="D30" s="38"/>
      <c r="E30" s="38"/>
      <c r="F30" s="38"/>
      <c r="G30" s="78" t="s">
        <v>302</v>
      </c>
      <c r="H30" s="32"/>
      <c r="I30" s="40"/>
      <c r="J30" s="70"/>
      <c r="K30" s="72">
        <f>TRUNC(ROUND(+G28*1,2),2)</f>
        <v>22.6</v>
      </c>
      <c r="L30" s="74" t="s">
        <v>303</v>
      </c>
    </row>
    <row r="31" spans="1:12">
      <c r="A31" s="37"/>
      <c r="B31" s="38"/>
      <c r="C31" s="38"/>
      <c r="D31" s="38"/>
      <c r="E31" s="38"/>
      <c r="F31" s="38"/>
      <c r="G31" s="79" t="s">
        <v>304</v>
      </c>
      <c r="H31" s="67"/>
      <c r="I31" s="68"/>
      <c r="J31" s="69"/>
      <c r="K31" s="69">
        <f>TRUNC(ROUND(+I28*1,2),2)</f>
        <v>0</v>
      </c>
      <c r="L31" s="75" t="s">
        <v>303</v>
      </c>
    </row>
    <row r="32" spans="1:12">
      <c r="A32" s="37"/>
      <c r="B32" s="38"/>
      <c r="C32" s="38"/>
      <c r="D32" s="38"/>
      <c r="E32" s="38"/>
      <c r="F32" s="38"/>
      <c r="G32" s="78" t="s">
        <v>305</v>
      </c>
      <c r="H32" s="32"/>
      <c r="I32" s="71"/>
      <c r="J32" s="72"/>
      <c r="K32" s="72">
        <f>TRUNC(ROUND(+J28*1,2),2)</f>
        <v>22.6</v>
      </c>
      <c r="L32" s="74" t="s">
        <v>303</v>
      </c>
    </row>
    <row r="33" spans="1:12">
      <c r="A33" s="37"/>
      <c r="B33" s="38"/>
      <c r="C33" s="38"/>
      <c r="D33" s="38"/>
      <c r="E33" s="38"/>
      <c r="F33" s="38"/>
      <c r="G33" s="79" t="s">
        <v>306</v>
      </c>
      <c r="H33" s="67"/>
      <c r="I33" s="68"/>
      <c r="J33" s="69"/>
      <c r="K33" s="69">
        <f>TRUNC(ROUND(K28-J28,2),2)</f>
        <v>3.84</v>
      </c>
      <c r="L33" s="75" t="s">
        <v>303</v>
      </c>
    </row>
    <row r="34" spans="1:12" ht="15.6">
      <c r="B34" s="38"/>
      <c r="C34" s="38"/>
      <c r="D34" s="38"/>
      <c r="E34" s="38"/>
      <c r="F34" s="38"/>
      <c r="G34" s="80" t="s">
        <v>307</v>
      </c>
      <c r="H34" s="42"/>
      <c r="I34" s="43"/>
      <c r="J34" s="73"/>
      <c r="K34" s="76">
        <f>TRUNC(ROUND(+K32+K33,2),2)</f>
        <v>26.44</v>
      </c>
      <c r="L34" s="77" t="s">
        <v>303</v>
      </c>
    </row>
    <row r="43" spans="1:12">
      <c r="B43" s="10" t="s">
        <v>308</v>
      </c>
      <c r="H43" s="10" t="s">
        <v>288</v>
      </c>
    </row>
  </sheetData>
  <sheetProtection sheet="1" objects="1" scenarios="1"/>
  <mergeCells count="10">
    <mergeCell ref="H12:I12"/>
    <mergeCell ref="J12:K12"/>
    <mergeCell ref="B14:C14"/>
    <mergeCell ref="B28:C28"/>
    <mergeCell ref="J1:K1"/>
    <mergeCell ref="J2:K2"/>
    <mergeCell ref="J3:K3"/>
    <mergeCell ref="J4:K4"/>
    <mergeCell ref="H11:I11"/>
    <mergeCell ref="J11:K11"/>
  </mergeCells>
  <pageMargins left="0.62992125984251968" right="0.23622047244094491" top="0.74803149606299213" bottom="0.74803149606299213" header="0.31496062992125984" footer="0.31496062992125984"/>
  <pageSetup paperSize="9" orientation="portrait" horizontalDpi="4294967293" verticalDpi="4294967293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2105-A4F2-4E05-BD3F-CF9271487617}">
  <sheetPr codeName="Sheet14"/>
  <dimension ref="A1:L43"/>
  <sheetViews>
    <sheetView zoomScaleNormal="100" workbookViewId="0">
      <selection activeCell="J1" sqref="J1:K1"/>
    </sheetView>
  </sheetViews>
  <sheetFormatPr defaultRowHeight="14.45"/>
  <cols>
    <col min="1" max="1" width="3.28515625" style="9" customWidth="1"/>
    <col min="2" max="2" width="14.28515625" style="10" customWidth="1"/>
    <col min="3" max="3" width="15.5703125" style="10" customWidth="1"/>
    <col min="4" max="4" width="5.140625" style="10" bestFit="1" customWidth="1"/>
    <col min="5" max="5" width="5.140625" style="10" customWidth="1"/>
    <col min="6" max="6" width="5.5703125" style="10" customWidth="1"/>
    <col min="7" max="7" width="8" style="10" customWidth="1"/>
    <col min="8" max="8" width="3.7109375" style="10" customWidth="1"/>
    <col min="9" max="9" width="5.7109375" style="29" customWidth="1"/>
    <col min="10" max="10" width="7.42578125" style="10" customWidth="1"/>
    <col min="11" max="11" width="10.28515625" style="10" customWidth="1"/>
    <col min="12" max="12" width="3.42578125" style="10" customWidth="1"/>
  </cols>
  <sheetData>
    <row r="1" spans="1:12">
      <c r="G1" s="82" t="s">
        <v>278</v>
      </c>
      <c r="H1" s="82"/>
      <c r="I1" s="11"/>
      <c r="J1" s="204">
        <f>'Za KIF-a'!E10</f>
        <v>22194</v>
      </c>
      <c r="K1" s="204"/>
    </row>
    <row r="2" spans="1:12">
      <c r="G2" s="81" t="s">
        <v>279</v>
      </c>
      <c r="H2" s="81"/>
      <c r="I2" s="11"/>
      <c r="J2" s="194">
        <f>'Za KIF-a'!D10</f>
        <v>1207</v>
      </c>
      <c r="K2" s="194"/>
    </row>
    <row r="3" spans="1:12">
      <c r="G3" s="81" t="s">
        <v>212</v>
      </c>
      <c r="H3" s="81"/>
      <c r="I3" s="13"/>
      <c r="J3" s="195">
        <f ca="1">'Za KIF-a'!L1</f>
        <v>44635</v>
      </c>
      <c r="K3" s="195"/>
    </row>
    <row r="4" spans="1:12">
      <c r="G4" s="81" t="s">
        <v>214</v>
      </c>
      <c r="H4" s="81"/>
      <c r="I4" s="13"/>
      <c r="J4" s="195">
        <f ca="1">'Za KIF-a'!L2</f>
        <v>44636</v>
      </c>
      <c r="K4" s="195"/>
    </row>
    <row r="5" spans="1:12">
      <c r="G5" s="81" t="s">
        <v>280</v>
      </c>
      <c r="H5" s="81"/>
      <c r="I5" s="13"/>
      <c r="J5" s="14" t="str">
        <f>VLOOKUP($C$12,kupci!$A:$J,7,FALSE)</f>
        <v>7 dana</v>
      </c>
      <c r="K5" s="14"/>
    </row>
    <row r="6" spans="1:12">
      <c r="B6" s="15" t="s">
        <v>281</v>
      </c>
      <c r="C6" s="16"/>
      <c r="D6" s="15"/>
      <c r="E6" s="16"/>
      <c r="F6" s="16" t="s">
        <v>282</v>
      </c>
      <c r="G6" s="16"/>
      <c r="H6" s="16"/>
      <c r="I6" s="16"/>
      <c r="J6" s="17"/>
      <c r="K6" s="16"/>
    </row>
    <row r="7" spans="1:12">
      <c r="B7" s="15" t="s">
        <v>283</v>
      </c>
      <c r="C7" s="16"/>
      <c r="D7" s="15"/>
      <c r="E7" s="16"/>
      <c r="F7" s="16" t="s">
        <v>284</v>
      </c>
      <c r="G7" s="16"/>
      <c r="H7" s="16"/>
      <c r="I7" s="16"/>
      <c r="J7" s="17"/>
      <c r="K7" s="16"/>
    </row>
    <row r="8" spans="1:12">
      <c r="B8" s="15" t="s">
        <v>14</v>
      </c>
      <c r="C8" s="16"/>
      <c r="D8" s="15"/>
      <c r="E8" s="16"/>
      <c r="F8" s="15" t="s">
        <v>285</v>
      </c>
      <c r="G8" s="16"/>
      <c r="H8" s="16"/>
      <c r="I8" s="16"/>
      <c r="J8" s="17"/>
      <c r="K8" s="16"/>
    </row>
    <row r="9" spans="1:12">
      <c r="B9" s="18" t="s">
        <v>286</v>
      </c>
      <c r="C9" s="19"/>
      <c r="D9" s="18"/>
      <c r="E9" s="19"/>
      <c r="F9" s="20" t="s">
        <v>287</v>
      </c>
      <c r="G9" s="19"/>
      <c r="H9" s="19"/>
      <c r="I9" s="19"/>
      <c r="J9" s="21"/>
      <c r="K9" s="19"/>
    </row>
    <row r="10" spans="1:12">
      <c r="B10" s="22" t="s">
        <v>288</v>
      </c>
      <c r="C10" s="28" t="str">
        <f>VLOOKUP($C$12,kupci!$A:$J,2,FALSE)</f>
        <v>UR "4Sobe Gospođe Safije"</v>
      </c>
      <c r="D10" s="24"/>
      <c r="E10" s="24"/>
      <c r="F10" s="23"/>
      <c r="G10" s="25"/>
      <c r="H10" s="25"/>
      <c r="I10" s="26"/>
      <c r="J10" s="25"/>
      <c r="K10" s="25"/>
    </row>
    <row r="11" spans="1:12">
      <c r="B11" s="27" t="s">
        <v>289</v>
      </c>
      <c r="C11" s="28" t="str">
        <f>VLOOKUP($C$12,kupci!$A:$J,3,FALSE)</f>
        <v>Sarajevo, 71000</v>
      </c>
      <c r="D11" s="28"/>
      <c r="E11" s="28"/>
      <c r="F11" s="28"/>
      <c r="H11" s="200" t="str">
        <f>IF(J11="*", "",  "PDV broj")</f>
        <v>PDV broj</v>
      </c>
      <c r="I11" s="200"/>
      <c r="J11" s="198">
        <f>VLOOKUP($C$12,kupci!$A:$J,4,FALSE)</f>
        <v>301676190001</v>
      </c>
      <c r="K11" s="198"/>
    </row>
    <row r="12" spans="1:12">
      <c r="B12" s="27" t="s">
        <v>290</v>
      </c>
      <c r="C12" s="23" t="str">
        <f>'Za fakturisanje'!N$2</f>
        <v>4SGS , Čekaluša 61</v>
      </c>
      <c r="D12" s="28"/>
      <c r="E12" s="28"/>
      <c r="F12" s="28"/>
      <c r="H12" s="201" t="str">
        <f>IF(J12="*", "",  "ID broj")</f>
        <v>ID broj</v>
      </c>
      <c r="I12" s="201"/>
      <c r="J12" s="199">
        <f>VLOOKUP($C$12,kupci!$A:$J,5,FALSE)</f>
        <v>4301676190001</v>
      </c>
      <c r="K12" s="199"/>
    </row>
    <row r="13" spans="1:12">
      <c r="C13" s="9"/>
      <c r="D13" s="9"/>
      <c r="K13" s="10" t="s">
        <v>291</v>
      </c>
    </row>
    <row r="14" spans="1:12" s="35" customFormat="1" ht="39.6" customHeight="1">
      <c r="A14" s="54" t="s">
        <v>292</v>
      </c>
      <c r="B14" s="202" t="s">
        <v>293</v>
      </c>
      <c r="C14" s="203"/>
      <c r="D14" s="30" t="s">
        <v>294</v>
      </c>
      <c r="E14" s="55" t="s">
        <v>295</v>
      </c>
      <c r="F14" s="30" t="s">
        <v>296</v>
      </c>
      <c r="G14" s="30" t="s">
        <v>297</v>
      </c>
      <c r="H14" s="61" t="s">
        <v>298</v>
      </c>
      <c r="I14" s="30" t="s">
        <v>299</v>
      </c>
      <c r="J14" s="30" t="s">
        <v>300</v>
      </c>
      <c r="K14" s="30" t="s">
        <v>301</v>
      </c>
      <c r="L14" s="56"/>
    </row>
    <row r="15" spans="1:12">
      <c r="A15" s="31" t="str">
        <f>IF(B15="","","1")</f>
        <v>1</v>
      </c>
      <c r="B15" s="79" t="str">
        <f t="array" ref="B15">IFERROR(INDEX('Za fakturisanje'!$B$1:$B$50,SMALL(IF(ISNUMBER('Za fakturisanje'!$N$1:$N$50),ROW('Za fakturisanje'!$N$1:$N$50)),ROW(E1))),"")</f>
        <v>Mikropovrće Rukola</v>
      </c>
      <c r="C15" s="46"/>
      <c r="D15" s="88" t="str">
        <f t="array" ref="D15">IFERROR(INDEX('Za fakturisanje'!$C$1:$C$50,SMALL(IF(ISNUMBER('Za fakturisanje'!$N$1:$N$50),ROW('Za fakturisanje'!$N$1:$N$50)),ROW(E1))),"")</f>
        <v>kom</v>
      </c>
      <c r="E15" s="31">
        <f t="array" ref="E15">IFERROR(INDEX('Za fakturisanje'!$N$1:$N$50,SMALL(IF(ISNUMBER('Za fakturisanje'!$N$1:$N$50),ROW('Za fakturisanje'!$N$1:$N$50)),ROW(E1))),"")</f>
        <v>3</v>
      </c>
      <c r="F15" s="41">
        <f t="array" ref="F15">IFERROR(INDEX('Za fakturisanje'!$E$1:$E$50,SMALL(IF(ISNUMBER('Za fakturisanje'!$N$1:$N$50),ROW('Za fakturisanje'!$N$1:$N$50)),ROW(E1))),"")</f>
        <v>3.68</v>
      </c>
      <c r="G15" s="33">
        <f>IF(E15="", "",+E15*F15)</f>
        <v>11.040000000000001</v>
      </c>
      <c r="H15" s="31">
        <f>IF(B15="","",VLOOKUP($C$12,kupci!$A:$J,6,FALSE))</f>
        <v>0</v>
      </c>
      <c r="I15" s="41">
        <f>IF(B15="","",G15*H15/100)</f>
        <v>0</v>
      </c>
      <c r="J15" s="33">
        <f>IF(B15="", "",+G15-I15)</f>
        <v>11.040000000000001</v>
      </c>
      <c r="K15" s="33">
        <f>IF(B15="", "",+J15*1.17)</f>
        <v>12.9168</v>
      </c>
    </row>
    <row r="16" spans="1:12">
      <c r="A16" s="31" t="str">
        <f>IF(B16="","","2")</f>
        <v>2</v>
      </c>
      <c r="B16" s="79" t="str">
        <f t="array" ref="B16">IFERROR(INDEX('Za fakturisanje'!$B$1:$B$50,SMALL(IF(ISNUMBER('Za fakturisanje'!$N$1:$N$50),ROW('Za fakturisanje'!$N$1:$N$50)),ROW(E2))),"")</f>
        <v>Mikropovrće suncokret</v>
      </c>
      <c r="C16" s="46"/>
      <c r="D16" s="88" t="str">
        <f t="array" ref="D16">IFERROR(INDEX('Za fakturisanje'!$C$1:$C$50,SMALL(IF(ISNUMBER('Za fakturisanje'!$N$1:$N$50),ROW('Za fakturisanje'!$N$1:$N$50)),ROW(E2))),"")</f>
        <v>kom</v>
      </c>
      <c r="E16" s="31">
        <f t="array" ref="E16">IFERROR(INDEX('Za fakturisanje'!$N$1:$N$50,SMALL(IF(ISNUMBER('Za fakturisanje'!$N$1:$N$50),ROW('Za fakturisanje'!$N$1:$N$50)),ROW(E2))),"")</f>
        <v>3</v>
      </c>
      <c r="F16" s="41">
        <f t="array" ref="F16">IFERROR(INDEX('Za fakturisanje'!$E$1:$E$50,SMALL(IF(ISNUMBER('Za fakturisanje'!$N$1:$N$50),ROW('Za fakturisanje'!$N$1:$N$50)),ROW(E2))),"")</f>
        <v>3.68</v>
      </c>
      <c r="G16" s="33">
        <f t="shared" ref="G16:G27" si="0">IF(E16="", "",+E16*F16)</f>
        <v>11.040000000000001</v>
      </c>
      <c r="H16" s="31">
        <f>IF(B16="","",VLOOKUP($C$12,kupci!$A:$J,6,FALSE))</f>
        <v>0</v>
      </c>
      <c r="I16" s="41">
        <f t="shared" ref="I16:I27" si="1">IF(B16="","",G16*H16/100)</f>
        <v>0</v>
      </c>
      <c r="J16" s="33">
        <f t="shared" ref="J16:J27" si="2">IF(B16="", "",+G16-I16)</f>
        <v>11.040000000000001</v>
      </c>
      <c r="K16" s="33">
        <f t="shared" ref="K16:K27" si="3">IF(B16="", "",+J16*1.17)</f>
        <v>12.9168</v>
      </c>
    </row>
    <row r="17" spans="1:12">
      <c r="A17" s="31" t="str">
        <f>IF(B17="","","3")</f>
        <v/>
      </c>
      <c r="B17" s="79" t="str">
        <f t="array" ref="B17">IFERROR(INDEX('Za fakturisanje'!$B$1:$B$50,SMALL(IF(ISNUMBER('Za fakturisanje'!$N$1:$N$50),ROW('Za fakturisanje'!$N$1:$N$50)),ROW(E3))),"")</f>
        <v/>
      </c>
      <c r="C17" s="46"/>
      <c r="D17" s="88" t="str">
        <f t="array" ref="D17">IFERROR(INDEX('Za fakturisanje'!$C$1:$C$50,SMALL(IF(ISNUMBER('Za fakturisanje'!$N$1:$N$50),ROW('Za fakturisanje'!$N$1:$N$50)),ROW(E3))),"")</f>
        <v/>
      </c>
      <c r="E17" s="31" t="str">
        <f t="array" ref="E17">IFERROR(INDEX('Za fakturisanje'!$N$1:$N$50,SMALL(IF(ISNUMBER('Za fakturisanje'!$N$1:$N$50),ROW('Za fakturisanje'!$N$1:$N$50)),ROW(E3))),"")</f>
        <v/>
      </c>
      <c r="F17" s="41" t="str">
        <f t="array" ref="F17">IFERROR(INDEX('Za fakturisanje'!$E$1:$E$50,SMALL(IF(ISNUMBER('Za fakturisanje'!$N$1:$N$50),ROW('Za fakturisanje'!$N$1:$N$50)),ROW(E3))),"")</f>
        <v/>
      </c>
      <c r="G17" s="33" t="str">
        <f t="shared" si="0"/>
        <v/>
      </c>
      <c r="H17" s="31" t="str">
        <f>IF(B17="","",VLOOKUP($C$12,kupci!$A:$J,6,FALSE))</f>
        <v/>
      </c>
      <c r="I17" s="41" t="str">
        <f t="shared" si="1"/>
        <v/>
      </c>
      <c r="J17" s="33" t="str">
        <f t="shared" si="2"/>
        <v/>
      </c>
      <c r="K17" s="33" t="str">
        <f t="shared" si="3"/>
        <v/>
      </c>
    </row>
    <row r="18" spans="1:12">
      <c r="A18" s="31" t="str">
        <f>IF(B18="","","4")</f>
        <v/>
      </c>
      <c r="B18" s="79" t="str">
        <f t="array" ref="B18">IFERROR(INDEX('Za fakturisanje'!$B$1:$B$50,SMALL(IF(ISNUMBER('Za fakturisanje'!$N$1:$N$50),ROW('Za fakturisanje'!$N$1:$N$50)),ROW(E4))),"")</f>
        <v/>
      </c>
      <c r="C18" s="46"/>
      <c r="D18" s="88" t="str">
        <f t="array" ref="D18">IFERROR(INDEX('Za fakturisanje'!$C$1:$C$50,SMALL(IF(ISNUMBER('Za fakturisanje'!$N$1:$N$50),ROW('Za fakturisanje'!$N$1:$N$50)),ROW(E4))),"")</f>
        <v/>
      </c>
      <c r="E18" s="31" t="str">
        <f t="array" ref="E18">IFERROR(INDEX('Za fakturisanje'!$N$1:$N$50,SMALL(IF(ISNUMBER('Za fakturisanje'!$N$1:$N$50),ROW('Za fakturisanje'!$N$1:$N$50)),ROW(E4))),"")</f>
        <v/>
      </c>
      <c r="F18" s="41" t="str">
        <f t="array" ref="F18">IFERROR(INDEX('Za fakturisanje'!$E$1:$E$50,SMALL(IF(ISNUMBER('Za fakturisanje'!$N$1:$N$50),ROW('Za fakturisanje'!$N$1:$N$50)),ROW(E4))),"")</f>
        <v/>
      </c>
      <c r="G18" s="33" t="str">
        <f t="shared" si="0"/>
        <v/>
      </c>
      <c r="H18" s="31" t="str">
        <f>IF(B18="","",VLOOKUP($C$12,kupci!$A:$J,6,FALSE))</f>
        <v/>
      </c>
      <c r="I18" s="41" t="str">
        <f t="shared" si="1"/>
        <v/>
      </c>
      <c r="J18" s="33" t="str">
        <f t="shared" si="2"/>
        <v/>
      </c>
      <c r="K18" s="33" t="str">
        <f t="shared" si="3"/>
        <v/>
      </c>
    </row>
    <row r="19" spans="1:12">
      <c r="A19" s="31" t="str">
        <f>IF(B19="","","5")</f>
        <v/>
      </c>
      <c r="B19" s="79" t="str">
        <f t="array" ref="B19">IFERROR(INDEX('Za fakturisanje'!$B$1:$B$50,SMALL(IF(ISNUMBER('Za fakturisanje'!$N$1:$N$50),ROW('Za fakturisanje'!$N$1:$N$50)),ROW(E5))),"")</f>
        <v/>
      </c>
      <c r="C19" s="53"/>
      <c r="D19" s="88" t="str">
        <f t="array" ref="D19">IFERROR(INDEX('Za fakturisanje'!$C$1:$C$50,SMALL(IF(ISNUMBER('Za fakturisanje'!$N$1:$N$50),ROW('Za fakturisanje'!$N$1:$N$50)),ROW(E5))),"")</f>
        <v/>
      </c>
      <c r="E19" s="31" t="str">
        <f t="array" ref="E19">IFERROR(INDEX('Za fakturisanje'!$N$1:$N$50,SMALL(IF(ISNUMBER('Za fakturisanje'!$N$1:$N$50),ROW('Za fakturisanje'!$N$1:$N$50)),ROW(E5))),"")</f>
        <v/>
      </c>
      <c r="F19" s="41" t="str">
        <f t="array" ref="F19">IFERROR(INDEX('Za fakturisanje'!$E$1:$E$50,SMALL(IF(ISNUMBER('Za fakturisanje'!$N$1:$N$50),ROW('Za fakturisanje'!$N$1:$N$50)),ROW(E5))),"")</f>
        <v/>
      </c>
      <c r="G19" s="33" t="str">
        <f t="shared" si="0"/>
        <v/>
      </c>
      <c r="H19" s="31" t="str">
        <f>IF(B19="","",VLOOKUP($C$12,kupci!$A:$J,6,FALSE))</f>
        <v/>
      </c>
      <c r="I19" s="41" t="str">
        <f t="shared" si="1"/>
        <v/>
      </c>
      <c r="J19" s="33" t="str">
        <f t="shared" si="2"/>
        <v/>
      </c>
      <c r="K19" s="33" t="str">
        <f t="shared" si="3"/>
        <v/>
      </c>
    </row>
    <row r="20" spans="1:12">
      <c r="A20" s="31" t="str">
        <f>IF(B20="","","6")</f>
        <v/>
      </c>
      <c r="B20" s="79" t="str">
        <f t="array" ref="B20">IFERROR(INDEX('Za fakturisanje'!$B$1:$B$50,SMALL(IF(ISNUMBER('Za fakturisanje'!$N$1:$N$50),ROW('Za fakturisanje'!$N$1:$N$50)),ROW(E6))),"")</f>
        <v/>
      </c>
      <c r="C20" s="48"/>
      <c r="D20" s="88" t="str">
        <f t="array" ref="D20">IFERROR(INDEX('Za fakturisanje'!$C$1:$C$50,SMALL(IF(ISNUMBER('Za fakturisanje'!$N$1:$N$50),ROW('Za fakturisanje'!$N$1:$N$50)),ROW(E6))),"")</f>
        <v/>
      </c>
      <c r="E20" s="31" t="str">
        <f t="array" ref="E20">IFERROR(INDEX('Za fakturisanje'!$N$1:$N$50,SMALL(IF(ISNUMBER('Za fakturisanje'!$N$1:$N$50),ROW('Za fakturisanje'!$N$1:$N$50)),ROW(E6))),"")</f>
        <v/>
      </c>
      <c r="F20" s="41" t="str">
        <f t="array" ref="F20">IFERROR(INDEX('Za fakturisanje'!$E$1:$E$50,SMALL(IF(ISNUMBER('Za fakturisanje'!$N$1:$N$50),ROW('Za fakturisanje'!$N$1:$N$50)),ROW(E6))),"")</f>
        <v/>
      </c>
      <c r="G20" s="33" t="str">
        <f t="shared" si="0"/>
        <v/>
      </c>
      <c r="H20" s="31" t="str">
        <f>IF(B20="","",VLOOKUP($C$12,kupci!$A:$J,6,FALSE))</f>
        <v/>
      </c>
      <c r="I20" s="41" t="str">
        <f t="shared" si="1"/>
        <v/>
      </c>
      <c r="J20" s="33" t="str">
        <f t="shared" si="2"/>
        <v/>
      </c>
      <c r="K20" s="33" t="str">
        <f t="shared" si="3"/>
        <v/>
      </c>
    </row>
    <row r="21" spans="1:12">
      <c r="A21" s="31" t="str">
        <f>IF(B21="","","7")</f>
        <v/>
      </c>
      <c r="B21" s="79" t="str">
        <f t="array" ref="B21">IFERROR(INDEX('Za fakturisanje'!$B$1:$B$50,SMALL(IF(ISNUMBER('Za fakturisanje'!$N$1:$N$50),ROW('Za fakturisanje'!$N$1:$N$50)),ROW(E7))),"")</f>
        <v/>
      </c>
      <c r="C21" s="49"/>
      <c r="D21" s="88" t="str">
        <f t="array" ref="D21">IFERROR(INDEX('Za fakturisanje'!$C$1:$C$50,SMALL(IF(ISNUMBER('Za fakturisanje'!$N$1:$N$50),ROW('Za fakturisanje'!$N$1:$N$50)),ROW(E7))),"")</f>
        <v/>
      </c>
      <c r="E21" s="31" t="str">
        <f t="array" ref="E21">IFERROR(INDEX('Za fakturisanje'!$N$1:$N$50,SMALL(IF(ISNUMBER('Za fakturisanje'!$N$1:$N$50),ROW('Za fakturisanje'!$N$1:$N$50)),ROW(E7))),"")</f>
        <v/>
      </c>
      <c r="F21" s="41" t="str">
        <f t="array" ref="F21">IFERROR(INDEX('Za fakturisanje'!$E$1:$E$50,SMALL(IF(ISNUMBER('Za fakturisanje'!$N$1:$N$50),ROW('Za fakturisanje'!$N$1:$N$50)),ROW(E7))),"")</f>
        <v/>
      </c>
      <c r="G21" s="33" t="str">
        <f t="shared" si="0"/>
        <v/>
      </c>
      <c r="H21" s="31" t="str">
        <f>IF(B21="","",VLOOKUP($C$12,kupci!$A:$J,6,FALSE))</f>
        <v/>
      </c>
      <c r="I21" s="41" t="str">
        <f t="shared" si="1"/>
        <v/>
      </c>
      <c r="J21" s="33" t="str">
        <f t="shared" si="2"/>
        <v/>
      </c>
      <c r="K21" s="33" t="str">
        <f t="shared" si="3"/>
        <v/>
      </c>
    </row>
    <row r="22" spans="1:12">
      <c r="A22" s="31" t="str">
        <f>IF(B22="","","8")</f>
        <v/>
      </c>
      <c r="B22" s="79" t="str">
        <f t="array" ref="B22">IFERROR(INDEX('Za fakturisanje'!$B$1:$B$50,SMALL(IF(ISNUMBER('Za fakturisanje'!$N$1:$N$50),ROW('Za fakturisanje'!$N$1:$N$50)),ROW(E8))),"")</f>
        <v/>
      </c>
      <c r="C22" s="49"/>
      <c r="D22" s="88" t="str">
        <f t="array" ref="D22">IFERROR(INDEX('Za fakturisanje'!$C$1:$C$50,SMALL(IF(ISNUMBER('Za fakturisanje'!$N$1:$N$50),ROW('Za fakturisanje'!$N$1:$N$50)),ROW(E8))),"")</f>
        <v/>
      </c>
      <c r="E22" s="31" t="str">
        <f t="array" ref="E22">IFERROR(INDEX('Za fakturisanje'!$N$1:$N$50,SMALL(IF(ISNUMBER('Za fakturisanje'!$N$1:$N$50),ROW('Za fakturisanje'!$N$1:$N$50)),ROW(E8))),"")</f>
        <v/>
      </c>
      <c r="F22" s="41" t="str">
        <f t="array" ref="F22">IFERROR(INDEX('Za fakturisanje'!$E$1:$E$50,SMALL(IF(ISNUMBER('Za fakturisanje'!$N$1:$N$50),ROW('Za fakturisanje'!$N$1:$N$50)),ROW(E8))),"")</f>
        <v/>
      </c>
      <c r="G22" s="33" t="str">
        <f t="shared" si="0"/>
        <v/>
      </c>
      <c r="H22" s="31" t="str">
        <f>IF(B22="","",VLOOKUP($C$12,kupci!$A:$J,6,FALSE))</f>
        <v/>
      </c>
      <c r="I22" s="41" t="str">
        <f t="shared" si="1"/>
        <v/>
      </c>
      <c r="J22" s="33" t="str">
        <f t="shared" si="2"/>
        <v/>
      </c>
      <c r="K22" s="33" t="str">
        <f t="shared" si="3"/>
        <v/>
      </c>
    </row>
    <row r="23" spans="1:12">
      <c r="A23" s="31" t="str">
        <f>IF(B23="","","9")</f>
        <v/>
      </c>
      <c r="B23" s="79" t="str">
        <f t="array" ref="B23">IFERROR(INDEX('Za fakturisanje'!$B$1:$B$50,SMALL(IF(ISNUMBER('Za fakturisanje'!$N$1:$N$50),ROW('Za fakturisanje'!$N$1:$N$50)),ROW(E9))),"")</f>
        <v/>
      </c>
      <c r="C23" s="51"/>
      <c r="D23" s="88" t="str">
        <f t="array" ref="D23">IFERROR(INDEX('Za fakturisanje'!$C$1:$C$50,SMALL(IF(ISNUMBER('Za fakturisanje'!$N$1:$N$50),ROW('Za fakturisanje'!$N$1:$N$50)),ROW(E9))),"")</f>
        <v/>
      </c>
      <c r="E23" s="31" t="str">
        <f t="array" ref="E23">IFERROR(INDEX('Za fakturisanje'!$N$1:$N$50,SMALL(IF(ISNUMBER('Za fakturisanje'!$N$1:$N$50),ROW('Za fakturisanje'!$N$1:$N$50)),ROW(E9))),"")</f>
        <v/>
      </c>
      <c r="F23" s="41" t="str">
        <f t="array" ref="F23">IFERROR(INDEX('Za fakturisanje'!$E$1:$E$50,SMALL(IF(ISNUMBER('Za fakturisanje'!$N$1:$N$50),ROW('Za fakturisanje'!$N$1:$N$50)),ROW(E9))),"")</f>
        <v/>
      </c>
      <c r="G23" s="33" t="str">
        <f t="shared" si="0"/>
        <v/>
      </c>
      <c r="H23" s="31" t="str">
        <f>IF(B23="","",VLOOKUP($C$12,kupci!$A:$J,6,FALSE))</f>
        <v/>
      </c>
      <c r="I23" s="41" t="str">
        <f t="shared" si="1"/>
        <v/>
      </c>
      <c r="J23" s="33" t="str">
        <f t="shared" si="2"/>
        <v/>
      </c>
      <c r="K23" s="33" t="str">
        <f t="shared" si="3"/>
        <v/>
      </c>
    </row>
    <row r="24" spans="1:12">
      <c r="A24" s="31" t="str">
        <f>IF(B24="","","10")</f>
        <v/>
      </c>
      <c r="B24" s="79" t="str">
        <f t="array" ref="B24">IFERROR(INDEX('Za fakturisanje'!$B$1:$B$50,SMALL(IF(ISNUMBER('Za fakturisanje'!$N$1:$N$50),ROW('Za fakturisanje'!$N$1:$N$50)),ROW(E10))),"")</f>
        <v/>
      </c>
      <c r="C24" s="52"/>
      <c r="D24" s="88" t="str">
        <f t="array" ref="D24">IFERROR(INDEX('Za fakturisanje'!$C$1:$C$50,SMALL(IF(ISNUMBER('Za fakturisanje'!$N$1:$N$50),ROW('Za fakturisanje'!$N$1:$N$50)),ROW(E10))),"")</f>
        <v/>
      </c>
      <c r="E24" s="31" t="str">
        <f t="array" ref="E24">IFERROR(INDEX('Za fakturisanje'!$N$1:$N$50,SMALL(IF(ISNUMBER('Za fakturisanje'!$N$1:$N$50),ROW('Za fakturisanje'!$N$1:$N$50)),ROW(E10))),"")</f>
        <v/>
      </c>
      <c r="F24" s="41" t="str">
        <f t="array" ref="F24">IFERROR(INDEX('Za fakturisanje'!$E$1:$E$50,SMALL(IF(ISNUMBER('Za fakturisanje'!$N$1:$N$50),ROW('Za fakturisanje'!$N$1:$N$50)),ROW(E10))),"")</f>
        <v/>
      </c>
      <c r="G24" s="33" t="str">
        <f t="shared" si="0"/>
        <v/>
      </c>
      <c r="H24" s="31" t="str">
        <f>IF(B24="","",VLOOKUP($C$12,kupci!$A:$J,6,FALSE))</f>
        <v/>
      </c>
      <c r="I24" s="41" t="str">
        <f t="shared" si="1"/>
        <v/>
      </c>
      <c r="J24" s="33" t="str">
        <f t="shared" si="2"/>
        <v/>
      </c>
      <c r="K24" s="33" t="str">
        <f t="shared" si="3"/>
        <v/>
      </c>
    </row>
    <row r="25" spans="1:12">
      <c r="A25" s="31" t="str">
        <f>IF(B25="","","11")</f>
        <v/>
      </c>
      <c r="B25" s="79" t="str">
        <f t="array" ref="B25">IFERROR(INDEX('Za fakturisanje'!$B$1:$B$50,SMALL(IF(ISNUMBER('Za fakturisanje'!$N$1:$N$50),ROW('Za fakturisanje'!$N$1:$N$50)),ROW(E11))),"")</f>
        <v/>
      </c>
      <c r="C25" s="48"/>
      <c r="D25" s="88" t="str">
        <f t="array" ref="D25">IFERROR(INDEX('Za fakturisanje'!$C$1:$C$50,SMALL(IF(ISNUMBER('Za fakturisanje'!$N$1:$N$50),ROW('Za fakturisanje'!$N$1:$N$50)),ROW(E11))),"")</f>
        <v/>
      </c>
      <c r="E25" s="31" t="str">
        <f t="array" ref="E25">IFERROR(INDEX('Za fakturisanje'!$N$1:$N$50,SMALL(IF(ISNUMBER('Za fakturisanje'!$N$1:$N$50),ROW('Za fakturisanje'!$N$1:$N$50)),ROW(E11))),"")</f>
        <v/>
      </c>
      <c r="F25" s="41" t="str">
        <f t="array" ref="F25">IFERROR(INDEX('Za fakturisanje'!$E$1:$E$50,SMALL(IF(ISNUMBER('Za fakturisanje'!$N$1:$N$50),ROW('Za fakturisanje'!$N$1:$N$50)),ROW(E11))),"")</f>
        <v/>
      </c>
      <c r="G25" s="33" t="str">
        <f t="shared" si="0"/>
        <v/>
      </c>
      <c r="H25" s="31" t="str">
        <f>IF(B25="","",VLOOKUP($C$12,kupci!$A:$J,6,FALSE))</f>
        <v/>
      </c>
      <c r="I25" s="41" t="str">
        <f t="shared" si="1"/>
        <v/>
      </c>
      <c r="J25" s="33" t="str">
        <f t="shared" si="2"/>
        <v/>
      </c>
      <c r="K25" s="33" t="str">
        <f t="shared" si="3"/>
        <v/>
      </c>
    </row>
    <row r="26" spans="1:12">
      <c r="A26" s="31" t="str">
        <f>IF(B26="","","12")</f>
        <v/>
      </c>
      <c r="B26" s="79" t="str">
        <f t="array" ref="B26">IFERROR(INDEX('Za fakturisanje'!$B$1:$B$50,SMALL(IF(ISNUMBER('Za fakturisanje'!$N$1:$N$50),ROW('Za fakturisanje'!$N$1:$N$50)),ROW(E12))),"")</f>
        <v/>
      </c>
      <c r="C26" s="49"/>
      <c r="D26" s="88" t="str">
        <f t="array" ref="D26">IFERROR(INDEX('Za fakturisanje'!$C$1:$C$50,SMALL(IF(ISNUMBER('Za fakturisanje'!$N$1:$N$50),ROW('Za fakturisanje'!$N$1:$N$50)),ROW(E12))),"")</f>
        <v/>
      </c>
      <c r="E26" s="31" t="str">
        <f t="array" ref="E26">IFERROR(INDEX('Za fakturisanje'!$N$1:$N$50,SMALL(IF(ISNUMBER('Za fakturisanje'!$N$1:$N$50),ROW('Za fakturisanje'!$N$1:$N$50)),ROW(E12))),"")</f>
        <v/>
      </c>
      <c r="F26" s="41" t="str">
        <f t="array" ref="F26">IFERROR(INDEX('Za fakturisanje'!$E$1:$E$50,SMALL(IF(ISNUMBER('Za fakturisanje'!$N$1:$N$50),ROW('Za fakturisanje'!$N$1:$N$50)),ROW(E12))),"")</f>
        <v/>
      </c>
      <c r="G26" s="33" t="str">
        <f t="shared" si="0"/>
        <v/>
      </c>
      <c r="H26" s="31" t="str">
        <f>IF(B26="","",VLOOKUP($C$12,kupci!$A:$J,6,FALSE))</f>
        <v/>
      </c>
      <c r="I26" s="41" t="str">
        <f t="shared" si="1"/>
        <v/>
      </c>
      <c r="J26" s="33" t="str">
        <f t="shared" si="2"/>
        <v/>
      </c>
      <c r="K26" s="33" t="str">
        <f t="shared" si="3"/>
        <v/>
      </c>
    </row>
    <row r="27" spans="1:12">
      <c r="A27" s="31" t="str">
        <f>IF(B27="","","13")</f>
        <v/>
      </c>
      <c r="B27" s="79" t="str">
        <f t="array" ref="B27">IFERROR(INDEX('Za fakturisanje'!$B$1:$B$50,SMALL(IF(ISNUMBER('Za fakturisanje'!$N$1:$N$50),ROW('Za fakturisanje'!$N$1:$N$50)),ROW(E13))),"")</f>
        <v/>
      </c>
      <c r="C27" s="50"/>
      <c r="D27" s="88" t="str">
        <f t="array" ref="D27">IFERROR(INDEX('Za fakturisanje'!$C$1:$C$50,SMALL(IF(ISNUMBER('Za fakturisanje'!$N$1:$N$50),ROW('Za fakturisanje'!$N$1:$N$50)),ROW(E13))),"")</f>
        <v/>
      </c>
      <c r="E27" s="31" t="str">
        <f t="array" ref="E27">IFERROR(INDEX('Za fakturisanje'!$N$1:$N$50,SMALL(IF(ISNUMBER('Za fakturisanje'!$N$1:$N$50),ROW('Za fakturisanje'!$N$1:$N$50)),ROW(E13))),"")</f>
        <v/>
      </c>
      <c r="F27" s="41" t="str">
        <f t="array" ref="F27">IFERROR(INDEX('Za fakturisanje'!$E$1:$E$50,SMALL(IF(ISNUMBER('Za fakturisanje'!$N$1:$N$50),ROW('Za fakturisanje'!$N$1:$N$50)),ROW(E13))),"")</f>
        <v/>
      </c>
      <c r="G27" s="33" t="str">
        <f t="shared" si="0"/>
        <v/>
      </c>
      <c r="H27" s="31" t="str">
        <f>IF(B27="","",VLOOKUP($C$12,kupci!$A:$J,6,FALSE))</f>
        <v/>
      </c>
      <c r="I27" s="41" t="str">
        <f t="shared" si="1"/>
        <v/>
      </c>
      <c r="J27" s="33" t="str">
        <f t="shared" si="2"/>
        <v/>
      </c>
      <c r="K27" s="33" t="str">
        <f t="shared" si="3"/>
        <v/>
      </c>
    </row>
    <row r="28" spans="1:12">
      <c r="A28" s="31"/>
      <c r="B28" s="196"/>
      <c r="C28" s="197"/>
      <c r="D28" s="32"/>
      <c r="E28" s="36">
        <f>SUM(E15:E27)</f>
        <v>6</v>
      </c>
      <c r="F28" s="34"/>
      <c r="G28" s="33">
        <f>SUM(G15:G27)</f>
        <v>22.080000000000002</v>
      </c>
      <c r="H28" s="36"/>
      <c r="I28" s="34">
        <f>SUM(I15:I27)</f>
        <v>0</v>
      </c>
      <c r="J28" s="34">
        <f>+G28-I28</f>
        <v>22.080000000000002</v>
      </c>
      <c r="K28" s="34">
        <f>+J28*1.17</f>
        <v>25.833600000000001</v>
      </c>
    </row>
    <row r="29" spans="1:12">
      <c r="A29" s="37"/>
      <c r="B29" s="38"/>
      <c r="C29" s="38"/>
      <c r="D29" s="38"/>
      <c r="E29" s="38"/>
      <c r="F29" s="38"/>
      <c r="G29" s="38"/>
      <c r="H29" s="38"/>
      <c r="I29" s="38"/>
      <c r="J29" s="39"/>
      <c r="K29" s="39"/>
    </row>
    <row r="30" spans="1:12">
      <c r="A30" s="37"/>
      <c r="B30" s="38"/>
      <c r="C30" s="38"/>
      <c r="D30" s="38"/>
      <c r="E30" s="38"/>
      <c r="F30" s="38"/>
      <c r="G30" s="78" t="s">
        <v>302</v>
      </c>
      <c r="H30" s="32"/>
      <c r="I30" s="40"/>
      <c r="J30" s="70"/>
      <c r="K30" s="72">
        <f>TRUNC(ROUND(+G28*1,2),2)</f>
        <v>22.08</v>
      </c>
      <c r="L30" s="74" t="s">
        <v>303</v>
      </c>
    </row>
    <row r="31" spans="1:12">
      <c r="A31" s="37"/>
      <c r="B31" s="38"/>
      <c r="C31" s="38"/>
      <c r="D31" s="38"/>
      <c r="E31" s="38"/>
      <c r="F31" s="38"/>
      <c r="G31" s="79" t="s">
        <v>304</v>
      </c>
      <c r="H31" s="67"/>
      <c r="I31" s="68"/>
      <c r="J31" s="69"/>
      <c r="K31" s="69">
        <f>TRUNC(ROUND(+I28*1,2),2)</f>
        <v>0</v>
      </c>
      <c r="L31" s="75" t="s">
        <v>303</v>
      </c>
    </row>
    <row r="32" spans="1:12">
      <c r="A32" s="37"/>
      <c r="B32" s="38"/>
      <c r="C32" s="38"/>
      <c r="D32" s="38"/>
      <c r="E32" s="38"/>
      <c r="F32" s="38"/>
      <c r="G32" s="78" t="s">
        <v>305</v>
      </c>
      <c r="H32" s="32"/>
      <c r="I32" s="71"/>
      <c r="J32" s="72"/>
      <c r="K32" s="72">
        <f>TRUNC(ROUND(+J28*1,2),2)</f>
        <v>22.08</v>
      </c>
      <c r="L32" s="74" t="s">
        <v>303</v>
      </c>
    </row>
    <row r="33" spans="1:12">
      <c r="A33" s="37"/>
      <c r="B33" s="38"/>
      <c r="C33" s="38"/>
      <c r="D33" s="38"/>
      <c r="E33" s="38"/>
      <c r="F33" s="38"/>
      <c r="G33" s="79" t="s">
        <v>306</v>
      </c>
      <c r="H33" s="67"/>
      <c r="I33" s="68"/>
      <c r="J33" s="69"/>
      <c r="K33" s="69">
        <f>TRUNC(ROUND(K28-J28,2),2)</f>
        <v>3.75</v>
      </c>
      <c r="L33" s="75" t="s">
        <v>303</v>
      </c>
    </row>
    <row r="34" spans="1:12" ht="15.6">
      <c r="B34" s="38"/>
      <c r="C34" s="38"/>
      <c r="D34" s="38"/>
      <c r="E34" s="38"/>
      <c r="F34" s="38"/>
      <c r="G34" s="80" t="s">
        <v>307</v>
      </c>
      <c r="H34" s="42"/>
      <c r="I34" s="43"/>
      <c r="J34" s="73"/>
      <c r="K34" s="76">
        <f>TRUNC(ROUND(+K32+K33,2),2)</f>
        <v>25.83</v>
      </c>
      <c r="L34" s="77" t="s">
        <v>303</v>
      </c>
    </row>
    <row r="43" spans="1:12">
      <c r="B43" s="10" t="s">
        <v>308</v>
      </c>
      <c r="H43" s="10" t="s">
        <v>288</v>
      </c>
    </row>
  </sheetData>
  <sheetProtection sheet="1" objects="1" scenarios="1"/>
  <mergeCells count="10">
    <mergeCell ref="H12:I12"/>
    <mergeCell ref="J12:K12"/>
    <mergeCell ref="B14:C14"/>
    <mergeCell ref="B28:C28"/>
    <mergeCell ref="J1:K1"/>
    <mergeCell ref="J2:K2"/>
    <mergeCell ref="J3:K3"/>
    <mergeCell ref="J4:K4"/>
    <mergeCell ref="H11:I11"/>
    <mergeCell ref="J11:K11"/>
  </mergeCells>
  <pageMargins left="0.62992125984251968" right="0.23622047244094491" top="0.74803149606299213" bottom="0.74803149606299213" header="0.31496062992125984" footer="0.31496062992125984"/>
  <pageSetup paperSize="9" orientation="portrait" horizontalDpi="4294967293" verticalDpi="4294967293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0C37-0FCA-4801-9151-C30706287884}">
  <sheetPr codeName="Sheet15"/>
  <dimension ref="A1:L43"/>
  <sheetViews>
    <sheetView zoomScaleNormal="100" workbookViewId="0">
      <selection activeCell="N4" sqref="N4:O5"/>
    </sheetView>
  </sheetViews>
  <sheetFormatPr defaultRowHeight="14.45"/>
  <cols>
    <col min="1" max="1" width="3.28515625" style="9" customWidth="1"/>
    <col min="2" max="2" width="14.28515625" style="10" customWidth="1"/>
    <col min="3" max="3" width="15.5703125" style="10" customWidth="1"/>
    <col min="4" max="4" width="5.140625" style="10" bestFit="1" customWidth="1"/>
    <col min="5" max="5" width="5.140625" style="10" customWidth="1"/>
    <col min="6" max="6" width="5.5703125" style="10" customWidth="1"/>
    <col min="7" max="7" width="8" style="10" customWidth="1"/>
    <col min="8" max="8" width="3.7109375" style="10" customWidth="1"/>
    <col min="9" max="9" width="5.7109375" style="29" customWidth="1"/>
    <col min="10" max="10" width="7.42578125" style="10" customWidth="1"/>
    <col min="11" max="11" width="10.28515625" style="10" customWidth="1"/>
    <col min="12" max="12" width="3.42578125" style="10" customWidth="1"/>
  </cols>
  <sheetData>
    <row r="1" spans="1:12">
      <c r="G1" s="82" t="s">
        <v>278</v>
      </c>
      <c r="H1" s="82"/>
      <c r="I1" s="11"/>
      <c r="J1" s="204">
        <v>22194</v>
      </c>
      <c r="K1" s="204"/>
    </row>
    <row r="2" spans="1:12">
      <c r="G2" s="81" t="s">
        <v>279</v>
      </c>
      <c r="H2" s="81"/>
      <c r="I2" s="11"/>
      <c r="J2" s="194">
        <v>1222</v>
      </c>
      <c r="K2" s="194"/>
    </row>
    <row r="3" spans="1:12">
      <c r="G3" s="81" t="s">
        <v>212</v>
      </c>
      <c r="H3" s="81"/>
      <c r="I3" s="13"/>
      <c r="J3" s="195">
        <f ca="1">'Za KIF-a'!L1</f>
        <v>44635</v>
      </c>
      <c r="K3" s="195"/>
    </row>
    <row r="4" spans="1:12">
      <c r="G4" s="81" t="s">
        <v>214</v>
      </c>
      <c r="H4" s="81"/>
      <c r="I4" s="13"/>
      <c r="J4" s="195">
        <f ca="1">'Za KIF-a'!L2</f>
        <v>44636</v>
      </c>
      <c r="K4" s="195"/>
    </row>
    <row r="5" spans="1:12">
      <c r="G5" s="81" t="s">
        <v>280</v>
      </c>
      <c r="H5" s="81"/>
      <c r="I5" s="13"/>
      <c r="J5" s="14" t="str">
        <f>VLOOKUP($C$12,kupci!$A:$J,7,FALSE)</f>
        <v>7 dana</v>
      </c>
      <c r="K5" s="14"/>
    </row>
    <row r="6" spans="1:12">
      <c r="B6" s="15" t="s">
        <v>281</v>
      </c>
      <c r="C6" s="16"/>
      <c r="D6" s="15"/>
      <c r="E6" s="16"/>
      <c r="F6" s="16" t="s">
        <v>282</v>
      </c>
      <c r="G6" s="16"/>
      <c r="H6" s="16"/>
      <c r="I6" s="16"/>
      <c r="J6" s="17"/>
      <c r="K6" s="16"/>
    </row>
    <row r="7" spans="1:12">
      <c r="B7" s="15" t="s">
        <v>283</v>
      </c>
      <c r="C7" s="16"/>
      <c r="D7" s="15"/>
      <c r="E7" s="16"/>
      <c r="F7" s="16" t="s">
        <v>284</v>
      </c>
      <c r="G7" s="16"/>
      <c r="H7" s="16"/>
      <c r="I7" s="16"/>
      <c r="J7" s="17"/>
      <c r="K7" s="16"/>
    </row>
    <row r="8" spans="1:12">
      <c r="B8" s="15" t="s">
        <v>14</v>
      </c>
      <c r="C8" s="16"/>
      <c r="D8" s="15"/>
      <c r="E8" s="16"/>
      <c r="F8" s="15" t="s">
        <v>285</v>
      </c>
      <c r="G8" s="16"/>
      <c r="H8" s="16"/>
      <c r="I8" s="16"/>
      <c r="J8" s="17"/>
      <c r="K8" s="16"/>
    </row>
    <row r="9" spans="1:12">
      <c r="B9" s="18" t="s">
        <v>286</v>
      </c>
      <c r="C9" s="19"/>
      <c r="D9" s="18"/>
      <c r="E9" s="19"/>
      <c r="F9" s="20" t="s">
        <v>287</v>
      </c>
      <c r="G9" s="19"/>
      <c r="H9" s="19"/>
      <c r="I9" s="19"/>
      <c r="J9" s="21"/>
      <c r="K9" s="19"/>
    </row>
    <row r="10" spans="1:12">
      <c r="B10" s="22" t="s">
        <v>288</v>
      </c>
      <c r="C10" s="28" t="str">
        <f>VLOOKUP($C$12,kupci!$A:$J,2,FALSE)</f>
        <v>A&amp;G D.O.O.</v>
      </c>
      <c r="D10" s="24"/>
      <c r="E10" s="24"/>
      <c r="F10" s="23"/>
      <c r="G10" s="25"/>
      <c r="H10" s="25"/>
      <c r="I10" s="26"/>
      <c r="J10" s="25"/>
      <c r="K10" s="25"/>
    </row>
    <row r="11" spans="1:12">
      <c r="B11" s="27" t="s">
        <v>289</v>
      </c>
      <c r="C11" s="28" t="str">
        <f>VLOOKUP($C$12,kupci!$A:$J,3,FALSE)</f>
        <v>Istočna Ilidža</v>
      </c>
      <c r="D11" s="28"/>
      <c r="E11" s="28"/>
      <c r="F11" s="28"/>
      <c r="H11" s="200" t="str">
        <f>IF(J11="*", "",  "PDV broj")</f>
        <v>PDV broj</v>
      </c>
      <c r="I11" s="200"/>
      <c r="J11" s="198">
        <f>VLOOKUP($C$12,kupci!$A:$J,4,FALSE)</f>
        <v>0</v>
      </c>
      <c r="K11" s="198"/>
    </row>
    <row r="12" spans="1:12">
      <c r="B12" s="27" t="s">
        <v>290</v>
      </c>
      <c r="C12" s="23" t="str">
        <f>'Za fakturisanje'!O$2</f>
        <v>Trg Kralja Aleksandra 2</v>
      </c>
      <c r="D12" s="28"/>
      <c r="E12" s="28"/>
      <c r="F12" s="28"/>
      <c r="H12" s="201" t="str">
        <f>IF(J12="*", "",  "ID broj")</f>
        <v>ID broj</v>
      </c>
      <c r="I12" s="201"/>
      <c r="J12" s="199">
        <f>VLOOKUP($C$12,kupci!$A:$J,5,FALSE)</f>
        <v>4404706890007</v>
      </c>
      <c r="K12" s="199"/>
    </row>
    <row r="13" spans="1:12">
      <c r="C13" s="9"/>
      <c r="D13" s="9"/>
      <c r="K13" s="10" t="s">
        <v>291</v>
      </c>
    </row>
    <row r="14" spans="1:12" s="35" customFormat="1" ht="39.6" customHeight="1">
      <c r="A14" s="54" t="s">
        <v>292</v>
      </c>
      <c r="B14" s="202" t="s">
        <v>293</v>
      </c>
      <c r="C14" s="203"/>
      <c r="D14" s="30" t="s">
        <v>294</v>
      </c>
      <c r="E14" s="55" t="s">
        <v>295</v>
      </c>
      <c r="F14" s="30" t="s">
        <v>296</v>
      </c>
      <c r="G14" s="30" t="s">
        <v>297</v>
      </c>
      <c r="H14" s="61" t="s">
        <v>298</v>
      </c>
      <c r="I14" s="30" t="s">
        <v>299</v>
      </c>
      <c r="J14" s="30" t="s">
        <v>300</v>
      </c>
      <c r="K14" s="30" t="s">
        <v>301</v>
      </c>
      <c r="L14" s="56"/>
    </row>
    <row r="15" spans="1:12">
      <c r="A15" s="31" t="str">
        <f>IF(B15="","","1")</f>
        <v>1</v>
      </c>
      <c r="B15" s="79" t="str">
        <f t="array" ref="B15">IFERROR(INDEX('Za fakturisanje'!$B$1:$B$50,SMALL(IF(ISNUMBER('Za fakturisanje'!$O$1:$O$50),ROW('Za fakturisanje'!$O$1:$O$50)),ROW(E1))),"")</f>
        <v>Mikropovrće Rukola</v>
      </c>
      <c r="C15" s="46"/>
      <c r="D15" s="88" t="str">
        <f t="array" ref="D15">IFERROR(INDEX('Za fakturisanje'!$C$1:$C$50,SMALL(IF(ISNUMBER('Za fakturisanje'!$O$1:$O$50),ROW('Za fakturisanje'!$O$1:$O$50)),ROW(E1))),"")</f>
        <v>kom</v>
      </c>
      <c r="E15" s="31">
        <f t="array" ref="E15">IFERROR(INDEX('Za fakturisanje'!$O$1:$O$50,SMALL(IF(ISNUMBER('Za fakturisanje'!$O$1:$O$50),ROW('Za fakturisanje'!$O$1:$O$50)),ROW(E1))),"")</f>
        <v>3</v>
      </c>
      <c r="F15" s="41">
        <f t="array" ref="F15">IFERROR(INDEX('Za fakturisanje'!$E$1:$E$50,SMALL(IF(ISNUMBER('Za fakturisanje'!$O$1:$O$50),ROW('Za fakturisanje'!$O$1:$O$50)),ROW(E1))),"")</f>
        <v>3.68</v>
      </c>
      <c r="G15" s="33">
        <f>IF(E15="", "",+E15*F15)</f>
        <v>11.040000000000001</v>
      </c>
      <c r="H15" s="31">
        <f>IF(B15="","",VLOOKUP($C$12,kupci!$A:$J,6,FALSE))</f>
        <v>0</v>
      </c>
      <c r="I15" s="41">
        <f>IF(B15="","",G15*H15/100)</f>
        <v>0</v>
      </c>
      <c r="J15" s="33">
        <f>IF(B15="", "",+G15-I15)</f>
        <v>11.040000000000001</v>
      </c>
      <c r="K15" s="33">
        <f>IF(B15="", "",+J15*1.17)</f>
        <v>12.9168</v>
      </c>
    </row>
    <row r="16" spans="1:12">
      <c r="A16" s="31" t="str">
        <f>IF(B16="","","2")</f>
        <v>2</v>
      </c>
      <c r="B16" s="79" t="str">
        <f t="array" ref="B16">IFERROR(INDEX('Za fakturisanje'!$B$1:$B$50,SMALL(IF(ISNUMBER('Za fakturisanje'!$O$1:$O$50),ROW('Za fakturisanje'!$O$1:$O$50)),ROW(E2))),"")</f>
        <v>Mikropovrće china rose</v>
      </c>
      <c r="C16" s="46"/>
      <c r="D16" s="88" t="str">
        <f t="array" ref="D16">IFERROR(INDEX('Za fakturisanje'!$C$1:$C$50,SMALL(IF(ISNUMBER('Za fakturisanje'!$O$1:$O$50),ROW('Za fakturisanje'!$O$1:$O$50)),ROW(E2))),"")</f>
        <v>kom</v>
      </c>
      <c r="E16" s="31">
        <f t="array" ref="E16">IFERROR(INDEX('Za fakturisanje'!$O$1:$O$50,SMALL(IF(ISNUMBER('Za fakturisanje'!$O$1:$O$50),ROW('Za fakturisanje'!$O$1:$O$50)),ROW(E2))),"")</f>
        <v>3</v>
      </c>
      <c r="F16" s="41">
        <f t="array" ref="F16">IFERROR(INDEX('Za fakturisanje'!$E$1:$E$50,SMALL(IF(ISNUMBER('Za fakturisanje'!$O$1:$O$50),ROW('Za fakturisanje'!$O$1:$O$50)),ROW(E2))),"")</f>
        <v>3.68</v>
      </c>
      <c r="G16" s="33">
        <f t="shared" ref="G16:G27" si="0">IF(E16="", "",+E16*F16)</f>
        <v>11.040000000000001</v>
      </c>
      <c r="H16" s="31">
        <f>IF(B16="","",VLOOKUP($C$12,kupci!$A:$J,6,FALSE))</f>
        <v>0</v>
      </c>
      <c r="I16" s="41">
        <f t="shared" ref="I16:I27" si="1">IF(B16="","",G16*H16/100)</f>
        <v>0</v>
      </c>
      <c r="J16" s="33">
        <f t="shared" ref="J16:J27" si="2">IF(B16="", "",+G16-I16)</f>
        <v>11.040000000000001</v>
      </c>
      <c r="K16" s="33">
        <f t="shared" ref="K16:K27" si="3">IF(B16="", "",+J16*1.17)</f>
        <v>12.9168</v>
      </c>
    </row>
    <row r="17" spans="1:12">
      <c r="A17" s="31" t="str">
        <f>IF(B17="","","3")</f>
        <v>3</v>
      </c>
      <c r="B17" s="79" t="str">
        <f t="array" ref="B17">IFERROR(INDEX('Za fakturisanje'!$B$1:$B$50,SMALL(IF(ISNUMBER('Za fakturisanje'!$O$1:$O$50),ROW('Za fakturisanje'!$O$1:$O$50)),ROW(E3))),"")</f>
        <v>Mikropovrće vulcano</v>
      </c>
      <c r="C17" s="46"/>
      <c r="D17" s="88" t="str">
        <f t="array" ref="D17">IFERROR(INDEX('Za fakturisanje'!$C$1:$C$50,SMALL(IF(ISNUMBER('Za fakturisanje'!$O$1:$O$50),ROW('Za fakturisanje'!$O$1:$O$50)),ROW(E3))),"")</f>
        <v>kom</v>
      </c>
      <c r="E17" s="31">
        <f t="array" ref="E17">IFERROR(INDEX('Za fakturisanje'!$O$1:$O$50,SMALL(IF(ISNUMBER('Za fakturisanje'!$O$1:$O$50),ROW('Za fakturisanje'!$O$1:$O$50)),ROW(E3))),"")</f>
        <v>6</v>
      </c>
      <c r="F17" s="41">
        <f t="array" ref="F17">IFERROR(INDEX('Za fakturisanje'!$E$1:$E$50,SMALL(IF(ISNUMBER('Za fakturisanje'!$O$1:$O$50),ROW('Za fakturisanje'!$O$1:$O$50)),ROW(E3))),"")</f>
        <v>4.2</v>
      </c>
      <c r="G17" s="33">
        <f t="shared" si="0"/>
        <v>25.200000000000003</v>
      </c>
      <c r="H17" s="31">
        <f>IF(B17="","",VLOOKUP($C$12,kupci!$A:$J,6,FALSE))</f>
        <v>0</v>
      </c>
      <c r="I17" s="41">
        <f t="shared" si="1"/>
        <v>0</v>
      </c>
      <c r="J17" s="33">
        <f t="shared" si="2"/>
        <v>25.200000000000003</v>
      </c>
      <c r="K17" s="33">
        <f t="shared" si="3"/>
        <v>29.484000000000002</v>
      </c>
    </row>
    <row r="18" spans="1:12">
      <c r="A18" s="31" t="str">
        <f>IF(B18="","","4")</f>
        <v>4</v>
      </c>
      <c r="B18" s="79" t="str">
        <f t="array" ref="B18">IFERROR(INDEX('Za fakturisanje'!$B$1:$B$50,SMALL(IF(ISNUMBER('Za fakturisanje'!$O$1:$O$50),ROW('Za fakturisanje'!$O$1:$O$50)),ROW(E4))),"")</f>
        <v>Mikropovrće suncokret</v>
      </c>
      <c r="C18" s="46"/>
      <c r="D18" s="88" t="str">
        <f t="array" ref="D18">IFERROR(INDEX('Za fakturisanje'!$C$1:$C$50,SMALL(IF(ISNUMBER('Za fakturisanje'!$O$1:$O$50),ROW('Za fakturisanje'!$O$1:$O$50)),ROW(E4))),"")</f>
        <v>kom</v>
      </c>
      <c r="E18" s="31">
        <f t="array" ref="E18">IFERROR(INDEX('Za fakturisanje'!$O$1:$O$50,SMALL(IF(ISNUMBER('Za fakturisanje'!$O$1:$O$50),ROW('Za fakturisanje'!$O$1:$O$50)),ROW(E4))),"")</f>
        <v>3</v>
      </c>
      <c r="F18" s="41">
        <f t="array" ref="F18">IFERROR(INDEX('Za fakturisanje'!$E$1:$E$50,SMALL(IF(ISNUMBER('Za fakturisanje'!$O$1:$O$50),ROW('Za fakturisanje'!$O$1:$O$50)),ROW(E4))),"")</f>
        <v>3.68</v>
      </c>
      <c r="G18" s="33">
        <f t="shared" si="0"/>
        <v>11.040000000000001</v>
      </c>
      <c r="H18" s="31">
        <f>IF(B18="","",VLOOKUP($C$12,kupci!$A:$J,6,FALSE))</f>
        <v>0</v>
      </c>
      <c r="I18" s="41">
        <f t="shared" si="1"/>
        <v>0</v>
      </c>
      <c r="J18" s="33">
        <f t="shared" si="2"/>
        <v>11.040000000000001</v>
      </c>
      <c r="K18" s="33">
        <f t="shared" si="3"/>
        <v>12.9168</v>
      </c>
    </row>
    <row r="19" spans="1:12">
      <c r="A19" s="31" t="str">
        <f>IF(B19="","","5")</f>
        <v>5</v>
      </c>
      <c r="B19" s="79" t="str">
        <f t="array" ref="B19">IFERROR(INDEX('Za fakturisanje'!$B$1:$B$50,SMALL(IF(ISNUMBER('Za fakturisanje'!$O$1:$O$50),ROW('Za fakturisanje'!$O$1:$O$50)),ROW(E5))),"")</f>
        <v>Mikropovrće daikon</v>
      </c>
      <c r="C19" s="53"/>
      <c r="D19" s="88" t="str">
        <f t="array" ref="D19">IFERROR(INDEX('Za fakturisanje'!$C$1:$C$50,SMALL(IF(ISNUMBER('Za fakturisanje'!$O$1:$O$50),ROW('Za fakturisanje'!$O$1:$O$50)),ROW(E5))),"")</f>
        <v>kom</v>
      </c>
      <c r="E19" s="31">
        <f t="array" ref="E19">IFERROR(INDEX('Za fakturisanje'!$O$1:$O$50,SMALL(IF(ISNUMBER('Za fakturisanje'!$O$1:$O$50),ROW('Za fakturisanje'!$O$1:$O$50)),ROW(E5))),"")</f>
        <v>2</v>
      </c>
      <c r="F19" s="41">
        <f t="array" ref="F19">IFERROR(INDEX('Za fakturisanje'!$E$1:$E$50,SMALL(IF(ISNUMBER('Za fakturisanje'!$O$1:$O$50),ROW('Za fakturisanje'!$O$1:$O$50)),ROW(E5))),"")</f>
        <v>3.68</v>
      </c>
      <c r="G19" s="33">
        <f t="shared" si="0"/>
        <v>7.36</v>
      </c>
      <c r="H19" s="31">
        <f>IF(B19="","",VLOOKUP($C$12,kupci!$A:$J,6,FALSE))</f>
        <v>0</v>
      </c>
      <c r="I19" s="41">
        <f t="shared" si="1"/>
        <v>0</v>
      </c>
      <c r="J19" s="33">
        <f t="shared" si="2"/>
        <v>7.36</v>
      </c>
      <c r="K19" s="33">
        <f t="shared" si="3"/>
        <v>8.6112000000000002</v>
      </c>
    </row>
    <row r="20" spans="1:12">
      <c r="A20" s="31" t="str">
        <f>IF(B20="","","6")</f>
        <v>6</v>
      </c>
      <c r="B20" s="79" t="str">
        <f t="array" ref="B20">IFERROR(INDEX('Za fakturisanje'!$B$1:$B$50,SMALL(IF(ISNUMBER('Za fakturisanje'!$O$1:$O$50),ROW('Za fakturisanje'!$O$1:$O$50)),ROW(E6))),"")</f>
        <v>Mikropovrće keleraba</v>
      </c>
      <c r="C20" s="48"/>
      <c r="D20" s="88" t="str">
        <f t="array" ref="D20">IFERROR(INDEX('Za fakturisanje'!$C$1:$C$50,SMALL(IF(ISNUMBER('Za fakturisanje'!$O$1:$O$50),ROW('Za fakturisanje'!$O$1:$O$50)),ROW(E6))),"")</f>
        <v>kom</v>
      </c>
      <c r="E20" s="31">
        <f t="array" ref="E20">IFERROR(INDEX('Za fakturisanje'!$O$1:$O$50,SMALL(IF(ISNUMBER('Za fakturisanje'!$O$1:$O$50),ROW('Za fakturisanje'!$O$1:$O$50)),ROW(E6))),"")</f>
        <v>3</v>
      </c>
      <c r="F20" s="41">
        <f t="array" ref="F20">IFERROR(INDEX('Za fakturisanje'!$E$1:$E$50,SMALL(IF(ISNUMBER('Za fakturisanje'!$O$1:$O$50),ROW('Za fakturisanje'!$O$1:$O$50)),ROW(E6))),"")</f>
        <v>3.45</v>
      </c>
      <c r="G20" s="33">
        <f t="shared" si="0"/>
        <v>10.350000000000001</v>
      </c>
      <c r="H20" s="31">
        <f>IF(B20="","",VLOOKUP($C$12,kupci!$A:$J,6,FALSE))</f>
        <v>0</v>
      </c>
      <c r="I20" s="41">
        <f t="shared" si="1"/>
        <v>0</v>
      </c>
      <c r="J20" s="33">
        <f t="shared" si="2"/>
        <v>10.350000000000001</v>
      </c>
      <c r="K20" s="33">
        <f t="shared" si="3"/>
        <v>12.109500000000001</v>
      </c>
    </row>
    <row r="21" spans="1:12">
      <c r="A21" s="31" t="str">
        <f>IF(B21="","","7")</f>
        <v/>
      </c>
      <c r="B21" s="79" t="str">
        <f t="array" ref="B21">IFERROR(INDEX('Za fakturisanje'!$B$1:$B$50,SMALL(IF(ISNUMBER('Za fakturisanje'!$O$1:$O$50),ROW('Za fakturisanje'!$O$1:$O$50)),ROW(E7))),"")</f>
        <v/>
      </c>
      <c r="C21" s="49"/>
      <c r="D21" s="88" t="str">
        <f t="array" ref="D21">IFERROR(INDEX('Za fakturisanje'!$C$1:$C$50,SMALL(IF(ISNUMBER('Za fakturisanje'!$O$1:$O$50),ROW('Za fakturisanje'!$O$1:$O$50)),ROW(E7))),"")</f>
        <v/>
      </c>
      <c r="E21" s="31" t="str">
        <f t="array" ref="E21">IFERROR(INDEX('Za fakturisanje'!$O$1:$O$50,SMALL(IF(ISNUMBER('Za fakturisanje'!$O$1:$O$50),ROW('Za fakturisanje'!$O$1:$O$50)),ROW(E7))),"")</f>
        <v/>
      </c>
      <c r="F21" s="41" t="str">
        <f t="array" ref="F21">IFERROR(INDEX('Za fakturisanje'!$E$1:$E$50,SMALL(IF(ISNUMBER('Za fakturisanje'!$O$1:$O$50),ROW('Za fakturisanje'!$O$1:$O$50)),ROW(E7))),"")</f>
        <v/>
      </c>
      <c r="G21" s="33" t="str">
        <f t="shared" si="0"/>
        <v/>
      </c>
      <c r="H21" s="31" t="str">
        <f>IF(B21="","",VLOOKUP($C$12,kupci!$A:$J,6,FALSE))</f>
        <v/>
      </c>
      <c r="I21" s="41" t="str">
        <f t="shared" si="1"/>
        <v/>
      </c>
      <c r="J21" s="33" t="str">
        <f t="shared" si="2"/>
        <v/>
      </c>
      <c r="K21" s="33" t="str">
        <f t="shared" si="3"/>
        <v/>
      </c>
    </row>
    <row r="22" spans="1:12">
      <c r="A22" s="31" t="str">
        <f>IF(B22="","","8")</f>
        <v/>
      </c>
      <c r="B22" s="79" t="str">
        <f t="array" ref="B22">IFERROR(INDEX('Za fakturisanje'!$B$1:$B$50,SMALL(IF(ISNUMBER('Za fakturisanje'!$O$1:$O$50),ROW('Za fakturisanje'!$O$1:$O$50)),ROW(E8))),"")</f>
        <v/>
      </c>
      <c r="C22" s="49"/>
      <c r="D22" s="88" t="str">
        <f t="array" ref="D22">IFERROR(INDEX('Za fakturisanje'!$C$1:$C$50,SMALL(IF(ISNUMBER('Za fakturisanje'!$O$1:$O$50),ROW('Za fakturisanje'!$O$1:$O$50)),ROW(E8))),"")</f>
        <v/>
      </c>
      <c r="E22" s="31" t="str">
        <f t="array" ref="E22">IFERROR(INDEX('Za fakturisanje'!$O$1:$O$50,SMALL(IF(ISNUMBER('Za fakturisanje'!$O$1:$O$50),ROW('Za fakturisanje'!$O$1:$O$50)),ROW(E8))),"")</f>
        <v/>
      </c>
      <c r="F22" s="41" t="str">
        <f t="array" ref="F22">IFERROR(INDEX('Za fakturisanje'!$E$1:$E$50,SMALL(IF(ISNUMBER('Za fakturisanje'!$O$1:$O$50),ROW('Za fakturisanje'!$O$1:$O$50)),ROW(E8))),"")</f>
        <v/>
      </c>
      <c r="G22" s="33" t="str">
        <f t="shared" si="0"/>
        <v/>
      </c>
      <c r="H22" s="31" t="str">
        <f>IF(B22="","",VLOOKUP($C$12,kupci!$A:$J,6,FALSE))</f>
        <v/>
      </c>
      <c r="I22" s="41" t="str">
        <f t="shared" si="1"/>
        <v/>
      </c>
      <c r="J22" s="33" t="str">
        <f t="shared" si="2"/>
        <v/>
      </c>
      <c r="K22" s="33" t="str">
        <f t="shared" si="3"/>
        <v/>
      </c>
    </row>
    <row r="23" spans="1:12">
      <c r="A23" s="31" t="str">
        <f>IF(B23="","","9")</f>
        <v/>
      </c>
      <c r="B23" s="79" t="str">
        <f t="array" ref="B23">IFERROR(INDEX('Za fakturisanje'!$B$1:$B$50,SMALL(IF(ISNUMBER('Za fakturisanje'!$O$1:$O$50),ROW('Za fakturisanje'!$O$1:$O$50)),ROW(E9))),"")</f>
        <v/>
      </c>
      <c r="C23" s="51"/>
      <c r="D23" s="88" t="str">
        <f t="array" ref="D23">IFERROR(INDEX('Za fakturisanje'!$C$1:$C$50,SMALL(IF(ISNUMBER('Za fakturisanje'!$O$1:$O$50),ROW('Za fakturisanje'!$O$1:$O$50)),ROW(E9))),"")</f>
        <v/>
      </c>
      <c r="E23" s="31" t="str">
        <f t="array" ref="E23">IFERROR(INDEX('Za fakturisanje'!$O$1:$O$50,SMALL(IF(ISNUMBER('Za fakturisanje'!$O$1:$O$50),ROW('Za fakturisanje'!$O$1:$O$50)),ROW(E9))),"")</f>
        <v/>
      </c>
      <c r="F23" s="41" t="str">
        <f t="array" ref="F23">IFERROR(INDEX('Za fakturisanje'!$E$1:$E$50,SMALL(IF(ISNUMBER('Za fakturisanje'!$O$1:$O$50),ROW('Za fakturisanje'!$O$1:$O$50)),ROW(E9))),"")</f>
        <v/>
      </c>
      <c r="G23" s="33" t="str">
        <f t="shared" si="0"/>
        <v/>
      </c>
      <c r="H23" s="31" t="str">
        <f>IF(B23="","",VLOOKUP($C$12,kupci!$A:$J,6,FALSE))</f>
        <v/>
      </c>
      <c r="I23" s="41" t="str">
        <f t="shared" si="1"/>
        <v/>
      </c>
      <c r="J23" s="33" t="str">
        <f t="shared" si="2"/>
        <v/>
      </c>
      <c r="K23" s="33" t="str">
        <f t="shared" si="3"/>
        <v/>
      </c>
    </row>
    <row r="24" spans="1:12">
      <c r="A24" s="31" t="str">
        <f>IF(B24="","","10")</f>
        <v/>
      </c>
      <c r="B24" s="79" t="str">
        <f t="array" ref="B24">IFERROR(INDEX('Za fakturisanje'!$B$1:$B$50,SMALL(IF(ISNUMBER('Za fakturisanje'!$O$1:$O$50),ROW('Za fakturisanje'!$O$1:$O$50)),ROW(E10))),"")</f>
        <v/>
      </c>
      <c r="C24" s="52"/>
      <c r="D24" s="88" t="str">
        <f t="array" ref="D24">IFERROR(INDEX('Za fakturisanje'!$C$1:$C$50,SMALL(IF(ISNUMBER('Za fakturisanje'!$O$1:$O$50),ROW('Za fakturisanje'!$O$1:$O$50)),ROW(E10))),"")</f>
        <v/>
      </c>
      <c r="E24" s="31" t="str">
        <f t="array" ref="E24">IFERROR(INDEX('Za fakturisanje'!$O$1:$O$50,SMALL(IF(ISNUMBER('Za fakturisanje'!$O$1:$O$50),ROW('Za fakturisanje'!$O$1:$O$50)),ROW(E10))),"")</f>
        <v/>
      </c>
      <c r="F24" s="41" t="str">
        <f t="array" ref="F24">IFERROR(INDEX('Za fakturisanje'!$E$1:$E$50,SMALL(IF(ISNUMBER('Za fakturisanje'!$O$1:$O$50),ROW('Za fakturisanje'!$O$1:$O$50)),ROW(E10))),"")</f>
        <v/>
      </c>
      <c r="G24" s="33" t="str">
        <f t="shared" si="0"/>
        <v/>
      </c>
      <c r="H24" s="31" t="str">
        <f>IF(B24="","",VLOOKUP($C$12,kupci!$A:$J,6,FALSE))</f>
        <v/>
      </c>
      <c r="I24" s="41" t="str">
        <f t="shared" si="1"/>
        <v/>
      </c>
      <c r="J24" s="33" t="str">
        <f t="shared" si="2"/>
        <v/>
      </c>
      <c r="K24" s="33" t="str">
        <f t="shared" si="3"/>
        <v/>
      </c>
    </row>
    <row r="25" spans="1:12">
      <c r="A25" s="31" t="str">
        <f>IF(B25="","","11")</f>
        <v/>
      </c>
      <c r="B25" s="79" t="str">
        <f t="array" ref="B25">IFERROR(INDEX('Za fakturisanje'!$B$1:$B$50,SMALL(IF(ISNUMBER('Za fakturisanje'!$O$1:$O$50),ROW('Za fakturisanje'!$O$1:$O$50)),ROW(E11))),"")</f>
        <v/>
      </c>
      <c r="C25" s="48"/>
      <c r="D25" s="88" t="str">
        <f t="array" ref="D25">IFERROR(INDEX('Za fakturisanje'!$C$1:$C$50,SMALL(IF(ISNUMBER('Za fakturisanje'!$O$1:$O$50),ROW('Za fakturisanje'!$O$1:$O$50)),ROW(E11))),"")</f>
        <v/>
      </c>
      <c r="E25" s="31" t="str">
        <f t="array" ref="E25">IFERROR(INDEX('Za fakturisanje'!$O$1:$O$50,SMALL(IF(ISNUMBER('Za fakturisanje'!$O$1:$O$50),ROW('Za fakturisanje'!$O$1:$O$50)),ROW(E11))),"")</f>
        <v/>
      </c>
      <c r="F25" s="41" t="str">
        <f t="array" ref="F25">IFERROR(INDEX('Za fakturisanje'!$E$1:$E$50,SMALL(IF(ISNUMBER('Za fakturisanje'!$O$1:$O$50),ROW('Za fakturisanje'!$O$1:$O$50)),ROW(E11))),"")</f>
        <v/>
      </c>
      <c r="G25" s="33" t="str">
        <f t="shared" si="0"/>
        <v/>
      </c>
      <c r="H25" s="31" t="str">
        <f>IF(B25="","",VLOOKUP($C$12,kupci!$A:$J,6,FALSE))</f>
        <v/>
      </c>
      <c r="I25" s="41" t="str">
        <f t="shared" si="1"/>
        <v/>
      </c>
      <c r="J25" s="33" t="str">
        <f t="shared" si="2"/>
        <v/>
      </c>
      <c r="K25" s="33" t="str">
        <f t="shared" si="3"/>
        <v/>
      </c>
    </row>
    <row r="26" spans="1:12">
      <c r="A26" s="31" t="str">
        <f>IF(B26="","","12")</f>
        <v/>
      </c>
      <c r="B26" s="79" t="str">
        <f t="array" ref="B26">IFERROR(INDEX('Za fakturisanje'!$B$1:$B$50,SMALL(IF(ISNUMBER('Za fakturisanje'!$O$1:$O$50),ROW('Za fakturisanje'!$O$1:$O$50)),ROW(E12))),"")</f>
        <v/>
      </c>
      <c r="C26" s="49"/>
      <c r="D26" s="88" t="str">
        <f t="array" ref="D26">IFERROR(INDEX('Za fakturisanje'!$C$1:$C$50,SMALL(IF(ISNUMBER('Za fakturisanje'!$O$1:$O$50),ROW('Za fakturisanje'!$O$1:$O$50)),ROW(E12))),"")</f>
        <v/>
      </c>
      <c r="E26" s="31" t="str">
        <f t="array" ref="E26">IFERROR(INDEX('Za fakturisanje'!$O$1:$O$50,SMALL(IF(ISNUMBER('Za fakturisanje'!$O$1:$O$50),ROW('Za fakturisanje'!$O$1:$O$50)),ROW(E12))),"")</f>
        <v/>
      </c>
      <c r="F26" s="41" t="str">
        <f t="array" ref="F26">IFERROR(INDEX('Za fakturisanje'!$E$1:$E$50,SMALL(IF(ISNUMBER('Za fakturisanje'!$O$1:$O$50),ROW('Za fakturisanje'!$O$1:$O$50)),ROW(E12))),"")</f>
        <v/>
      </c>
      <c r="G26" s="33" t="str">
        <f t="shared" si="0"/>
        <v/>
      </c>
      <c r="H26" s="31" t="str">
        <f>IF(B26="","",VLOOKUP($C$12,kupci!$A:$J,6,FALSE))</f>
        <v/>
      </c>
      <c r="I26" s="41" t="str">
        <f t="shared" si="1"/>
        <v/>
      </c>
      <c r="J26" s="33" t="str">
        <f t="shared" si="2"/>
        <v/>
      </c>
      <c r="K26" s="33" t="str">
        <f t="shared" si="3"/>
        <v/>
      </c>
    </row>
    <row r="27" spans="1:12">
      <c r="A27" s="31" t="str">
        <f>IF(B27="","","13")</f>
        <v/>
      </c>
      <c r="B27" s="79" t="str">
        <f t="array" ref="B27">IFERROR(INDEX('Za fakturisanje'!$B$1:$B$50,SMALL(IF(ISNUMBER('Za fakturisanje'!$O$1:$O$50),ROW('Za fakturisanje'!$O$1:$O$50)),ROW(E13))),"")</f>
        <v/>
      </c>
      <c r="C27" s="50"/>
      <c r="D27" s="88" t="str">
        <f t="array" ref="D27">IFERROR(INDEX('Za fakturisanje'!$C$1:$C$50,SMALL(IF(ISNUMBER('Za fakturisanje'!$O$1:$O$50),ROW('Za fakturisanje'!$O$1:$O$50)),ROW(E13))),"")</f>
        <v/>
      </c>
      <c r="E27" s="31" t="str">
        <f t="array" ref="E27">IFERROR(INDEX('Za fakturisanje'!$O$1:$O$50,SMALL(IF(ISNUMBER('Za fakturisanje'!$O$1:$O$50),ROW('Za fakturisanje'!$O$1:$O$50)),ROW(E13))),"")</f>
        <v/>
      </c>
      <c r="F27" s="41" t="str">
        <f t="array" ref="F27">IFERROR(INDEX('Za fakturisanje'!$E$1:$E$50,SMALL(IF(ISNUMBER('Za fakturisanje'!$O$1:$O$50),ROW('Za fakturisanje'!$O$1:$O$50)),ROW(E13))),"")</f>
        <v/>
      </c>
      <c r="G27" s="33" t="str">
        <f t="shared" si="0"/>
        <v/>
      </c>
      <c r="H27" s="31" t="str">
        <f>IF(B27="","",VLOOKUP($C$12,kupci!$A:$J,6,FALSE))</f>
        <v/>
      </c>
      <c r="I27" s="41" t="str">
        <f t="shared" si="1"/>
        <v/>
      </c>
      <c r="J27" s="33" t="str">
        <f t="shared" si="2"/>
        <v/>
      </c>
      <c r="K27" s="33" t="str">
        <f t="shared" si="3"/>
        <v/>
      </c>
    </row>
    <row r="28" spans="1:12">
      <c r="A28" s="31"/>
      <c r="B28" s="196"/>
      <c r="C28" s="197"/>
      <c r="D28" s="32"/>
      <c r="E28" s="36">
        <f>SUM(E15:E27)</f>
        <v>20</v>
      </c>
      <c r="F28" s="34"/>
      <c r="G28" s="33">
        <f>SUM(G15:G27)</f>
        <v>76.03</v>
      </c>
      <c r="H28" s="36"/>
      <c r="I28" s="34">
        <f>SUM(I15:I27)</f>
        <v>0</v>
      </c>
      <c r="J28" s="34">
        <f>+G28-I28</f>
        <v>76.03</v>
      </c>
      <c r="K28" s="34">
        <f>+J28*1.17</f>
        <v>88.955100000000002</v>
      </c>
    </row>
    <row r="29" spans="1:12">
      <c r="A29" s="37"/>
      <c r="B29" s="38"/>
      <c r="C29" s="38"/>
      <c r="D29" s="38"/>
      <c r="E29" s="38"/>
      <c r="F29" s="38"/>
      <c r="G29" s="38"/>
      <c r="H29" s="38"/>
      <c r="I29" s="38"/>
      <c r="J29" s="39"/>
      <c r="K29" s="39"/>
    </row>
    <row r="30" spans="1:12">
      <c r="A30" s="37"/>
      <c r="B30" s="38"/>
      <c r="C30" s="38"/>
      <c r="D30" s="38"/>
      <c r="E30" s="38"/>
      <c r="F30" s="38"/>
      <c r="G30" s="78" t="s">
        <v>302</v>
      </c>
      <c r="H30" s="32"/>
      <c r="I30" s="40"/>
      <c r="J30" s="70"/>
      <c r="K30" s="72">
        <f>TRUNC(ROUND(+G28*1,2),2)</f>
        <v>76.03</v>
      </c>
      <c r="L30" s="74" t="s">
        <v>303</v>
      </c>
    </row>
    <row r="31" spans="1:12">
      <c r="A31" s="37"/>
      <c r="B31" s="38"/>
      <c r="C31" s="38"/>
      <c r="D31" s="38"/>
      <c r="E31" s="38"/>
      <c r="F31" s="38"/>
      <c r="G31" s="79" t="s">
        <v>304</v>
      </c>
      <c r="H31" s="67"/>
      <c r="I31" s="68"/>
      <c r="J31" s="69"/>
      <c r="K31" s="69">
        <f>TRUNC(ROUND(+I28*1,2),2)</f>
        <v>0</v>
      </c>
      <c r="L31" s="75" t="s">
        <v>303</v>
      </c>
    </row>
    <row r="32" spans="1:12">
      <c r="A32" s="37"/>
      <c r="B32" s="38"/>
      <c r="C32" s="38"/>
      <c r="D32" s="38"/>
      <c r="E32" s="38"/>
      <c r="F32" s="38"/>
      <c r="G32" s="78" t="s">
        <v>305</v>
      </c>
      <c r="H32" s="32"/>
      <c r="I32" s="71"/>
      <c r="J32" s="72"/>
      <c r="K32" s="72">
        <f>TRUNC(ROUND(+J28*1,2),2)</f>
        <v>76.03</v>
      </c>
      <c r="L32" s="74" t="s">
        <v>303</v>
      </c>
    </row>
    <row r="33" spans="1:12">
      <c r="A33" s="37"/>
      <c r="B33" s="38"/>
      <c r="C33" s="38"/>
      <c r="D33" s="38"/>
      <c r="E33" s="38"/>
      <c r="F33" s="38"/>
      <c r="G33" s="79" t="s">
        <v>306</v>
      </c>
      <c r="H33" s="67"/>
      <c r="I33" s="68"/>
      <c r="J33" s="69"/>
      <c r="K33" s="69">
        <f>TRUNC(ROUND(K28-J28,2),2)</f>
        <v>12.93</v>
      </c>
      <c r="L33" s="75" t="s">
        <v>303</v>
      </c>
    </row>
    <row r="34" spans="1:12" ht="15.6">
      <c r="B34" s="38"/>
      <c r="C34" s="38"/>
      <c r="D34" s="38"/>
      <c r="E34" s="38"/>
      <c r="F34" s="38"/>
      <c r="G34" s="80" t="s">
        <v>307</v>
      </c>
      <c r="H34" s="42"/>
      <c r="I34" s="43"/>
      <c r="J34" s="73"/>
      <c r="K34" s="76">
        <f>TRUNC(ROUND(+K32+K33,2),2)</f>
        <v>88.96</v>
      </c>
      <c r="L34" s="77" t="s">
        <v>303</v>
      </c>
    </row>
    <row r="43" spans="1:12">
      <c r="B43" s="10" t="s">
        <v>308</v>
      </c>
      <c r="H43" s="10" t="s">
        <v>288</v>
      </c>
    </row>
  </sheetData>
  <sheetProtection sheet="1" objects="1" scenarios="1"/>
  <mergeCells count="10">
    <mergeCell ref="H12:I12"/>
    <mergeCell ref="J12:K12"/>
    <mergeCell ref="B14:C14"/>
    <mergeCell ref="B28:C28"/>
    <mergeCell ref="J1:K1"/>
    <mergeCell ref="J2:K2"/>
    <mergeCell ref="J3:K3"/>
    <mergeCell ref="J4:K4"/>
    <mergeCell ref="H11:I11"/>
    <mergeCell ref="J11:K11"/>
  </mergeCells>
  <pageMargins left="0.62992125984251968" right="0.23622047244094491" top="0.74803149606299213" bottom="0.74803149606299213" header="0.31496062992125984" footer="0.31496062992125984"/>
  <pageSetup paperSize="9" orientation="portrait" horizontalDpi="4294967293" verticalDpi="4294967293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3591-DA32-46CB-9F36-FBF6B0BBB1EB}">
  <sheetPr codeName="Sheet16"/>
  <dimension ref="A1:L43"/>
  <sheetViews>
    <sheetView zoomScaleNormal="100" workbookViewId="0">
      <selection activeCell="J1" sqref="J1:K1"/>
    </sheetView>
  </sheetViews>
  <sheetFormatPr defaultRowHeight="14.45"/>
  <cols>
    <col min="1" max="1" width="3.28515625" style="9" customWidth="1"/>
    <col min="2" max="2" width="14.28515625" style="10" customWidth="1"/>
    <col min="3" max="3" width="15.5703125" style="10" customWidth="1"/>
    <col min="4" max="4" width="5.140625" style="10" bestFit="1" customWidth="1"/>
    <col min="5" max="5" width="5.140625" style="10" customWidth="1"/>
    <col min="6" max="6" width="5.5703125" style="10" customWidth="1"/>
    <col min="7" max="7" width="8" style="10" customWidth="1"/>
    <col min="8" max="8" width="3.7109375" style="10" customWidth="1"/>
    <col min="9" max="9" width="5.7109375" style="29" customWidth="1"/>
    <col min="10" max="10" width="7.42578125" style="10" customWidth="1"/>
    <col min="11" max="11" width="10.28515625" style="10" customWidth="1"/>
    <col min="12" max="12" width="3.42578125" style="10" customWidth="1"/>
  </cols>
  <sheetData>
    <row r="1" spans="1:12">
      <c r="G1" s="82" t="s">
        <v>278</v>
      </c>
      <c r="H1" s="82"/>
      <c r="I1" s="11"/>
      <c r="J1" s="204">
        <f>'Za KIF-a'!E12</f>
        <v>22196</v>
      </c>
      <c r="K1" s="204"/>
    </row>
    <row r="2" spans="1:12">
      <c r="G2" s="81" t="s">
        <v>279</v>
      </c>
      <c r="H2" s="81"/>
      <c r="I2" s="11"/>
      <c r="J2" s="194">
        <f>'Za KIF-a'!D12</f>
        <v>1209</v>
      </c>
      <c r="K2" s="194"/>
    </row>
    <row r="3" spans="1:12">
      <c r="G3" s="81" t="s">
        <v>212</v>
      </c>
      <c r="H3" s="81"/>
      <c r="I3" s="13"/>
      <c r="J3" s="195">
        <f ca="1">'Za KIF-a'!L1</f>
        <v>44635</v>
      </c>
      <c r="K3" s="195"/>
    </row>
    <row r="4" spans="1:12">
      <c r="G4" s="81" t="s">
        <v>214</v>
      </c>
      <c r="H4" s="81"/>
      <c r="I4" s="13"/>
      <c r="J4" s="195">
        <f ca="1">'Za KIF-a'!L2</f>
        <v>44636</v>
      </c>
      <c r="K4" s="195"/>
    </row>
    <row r="5" spans="1:12">
      <c r="G5" s="81" t="s">
        <v>280</v>
      </c>
      <c r="H5" s="81"/>
      <c r="I5" s="13"/>
      <c r="J5" s="14" t="str">
        <f>VLOOKUP($C$12,kupci!$A:$J,7,FALSE)</f>
        <v>7 dana</v>
      </c>
      <c r="K5" s="14"/>
    </row>
    <row r="6" spans="1:12">
      <c r="B6" s="15" t="s">
        <v>281</v>
      </c>
      <c r="C6" s="16"/>
      <c r="D6" s="15"/>
      <c r="E6" s="16"/>
      <c r="F6" s="16" t="s">
        <v>282</v>
      </c>
      <c r="G6" s="16"/>
      <c r="H6" s="16"/>
      <c r="I6" s="16"/>
      <c r="J6" s="17"/>
      <c r="K6" s="16"/>
    </row>
    <row r="7" spans="1:12">
      <c r="B7" s="15" t="s">
        <v>283</v>
      </c>
      <c r="C7" s="16"/>
      <c r="D7" s="15"/>
      <c r="E7" s="16"/>
      <c r="F7" s="16" t="s">
        <v>284</v>
      </c>
      <c r="G7" s="16"/>
      <c r="H7" s="16"/>
      <c r="I7" s="16"/>
      <c r="J7" s="17"/>
      <c r="K7" s="16"/>
    </row>
    <row r="8" spans="1:12">
      <c r="B8" s="15" t="s">
        <v>14</v>
      </c>
      <c r="C8" s="16"/>
      <c r="D8" s="15"/>
      <c r="E8" s="16"/>
      <c r="F8" s="15" t="s">
        <v>285</v>
      </c>
      <c r="G8" s="16"/>
      <c r="H8" s="16"/>
      <c r="I8" s="16"/>
      <c r="J8" s="17"/>
      <c r="K8" s="16"/>
    </row>
    <row r="9" spans="1:12">
      <c r="B9" s="18" t="s">
        <v>286</v>
      </c>
      <c r="C9" s="19"/>
      <c r="D9" s="18"/>
      <c r="E9" s="19"/>
      <c r="F9" s="20" t="s">
        <v>287</v>
      </c>
      <c r="G9" s="19"/>
      <c r="H9" s="19"/>
      <c r="I9" s="19"/>
      <c r="J9" s="21"/>
      <c r="K9" s="19"/>
    </row>
    <row r="10" spans="1:12">
      <c r="B10" s="22" t="s">
        <v>288</v>
      </c>
      <c r="C10" s="28" t="str">
        <f>VLOOKUP($C$12,kupci!$A:$J,2,FALSE)</f>
        <v>UR "BAOLI" Sarajevo</v>
      </c>
      <c r="D10" s="24"/>
      <c r="E10" s="24"/>
      <c r="F10" s="23"/>
      <c r="G10" s="25"/>
      <c r="H10" s="25"/>
      <c r="I10" s="26"/>
      <c r="J10" s="25"/>
      <c r="K10" s="25"/>
    </row>
    <row r="11" spans="1:12">
      <c r="B11" s="27" t="s">
        <v>289</v>
      </c>
      <c r="C11" s="28" t="str">
        <f>VLOOKUP($C$12,kupci!$A:$J,3,FALSE)</f>
        <v>Sarajevo  71000</v>
      </c>
      <c r="D11" s="28"/>
      <c r="E11" s="28"/>
      <c r="F11" s="28"/>
      <c r="H11" s="200" t="str">
        <f>IF(J11="*", "",  "PDV broj")</f>
        <v>PDV broj</v>
      </c>
      <c r="I11" s="200"/>
      <c r="J11" s="198" t="str">
        <f>VLOOKUP($C$12,kupci!$A:$J,4,FALSE)</f>
        <v>303430690008</v>
      </c>
      <c r="K11" s="198"/>
    </row>
    <row r="12" spans="1:12">
      <c r="B12" s="27" t="s">
        <v>290</v>
      </c>
      <c r="C12" s="23" t="str">
        <f>'Za fakturisanje'!P$2</f>
        <v>Baoli, Avde Sumbula 3</v>
      </c>
      <c r="D12" s="28"/>
      <c r="E12" s="28"/>
      <c r="F12" s="28"/>
      <c r="H12" s="201" t="str">
        <f>IF(J12="*", "",  "ID broj")</f>
        <v>ID broj</v>
      </c>
      <c r="I12" s="201"/>
      <c r="J12" s="199" t="str">
        <f>VLOOKUP($C$12,kupci!$A:$J,5,FALSE)</f>
        <v>4303430690008</v>
      </c>
      <c r="K12" s="199"/>
    </row>
    <row r="13" spans="1:12">
      <c r="C13" s="9"/>
      <c r="D13" s="9"/>
      <c r="K13" s="10" t="s">
        <v>291</v>
      </c>
    </row>
    <row r="14" spans="1:12" s="35" customFormat="1" ht="39.6" customHeight="1">
      <c r="A14" s="54" t="s">
        <v>292</v>
      </c>
      <c r="B14" s="202" t="s">
        <v>293</v>
      </c>
      <c r="C14" s="203"/>
      <c r="D14" s="30" t="s">
        <v>294</v>
      </c>
      <c r="E14" s="55" t="s">
        <v>295</v>
      </c>
      <c r="F14" s="30" t="s">
        <v>296</v>
      </c>
      <c r="G14" s="30" t="s">
        <v>297</v>
      </c>
      <c r="H14" s="61" t="s">
        <v>298</v>
      </c>
      <c r="I14" s="30" t="s">
        <v>299</v>
      </c>
      <c r="J14" s="30" t="s">
        <v>300</v>
      </c>
      <c r="K14" s="30" t="s">
        <v>301</v>
      </c>
      <c r="L14" s="56"/>
    </row>
    <row r="15" spans="1:12">
      <c r="A15" s="31" t="str">
        <f>IF(B15="","","1")</f>
        <v>1</v>
      </c>
      <c r="B15" s="79" t="str">
        <f t="array" ref="B15">IFERROR(INDEX('Za fakturisanje'!$B$1:$B$50,SMALL(IF(ISNUMBER('Za fakturisanje'!$P$1:$P$50),ROW('Za fakturisanje'!$P$1:$P$50)),ROW(E1))),"")</f>
        <v>Mikropovrće Brokula</v>
      </c>
      <c r="C15" s="46"/>
      <c r="D15" s="88" t="str">
        <f t="array" ref="D15">IFERROR(INDEX('Za fakturisanje'!$C$1:$C$50,SMALL(IF(ISNUMBER('Za fakturisanje'!$P$1:$P$50),ROW('Za fakturisanje'!$P$1:$P$50)),ROW(E1))),"")</f>
        <v>kom</v>
      </c>
      <c r="E15" s="31">
        <f t="array" ref="E15">IFERROR(INDEX('Za fakturisanje'!$P$1:$P$50,SMALL(IF(ISNUMBER('Za fakturisanje'!$P$1:$P$50),ROW('Za fakturisanje'!$P$1:$P$50)),ROW(E1))),"")</f>
        <v>2</v>
      </c>
      <c r="F15" s="41">
        <f t="array" ref="F15">IFERROR(INDEX('Za fakturisanje'!$E$1:$E$50,SMALL(IF(ISNUMBER('Za fakturisanje'!$P$1:$P$50),ROW('Za fakturisanje'!$P$1:$P$50)),ROW(E1))),"")</f>
        <v>3.68</v>
      </c>
      <c r="G15" s="33">
        <f>IF(E15="", "",+E15*F15)</f>
        <v>7.36</v>
      </c>
      <c r="H15" s="31">
        <f>IF(B15="","",VLOOKUP($C$12,kupci!$A:$J,6,FALSE))</f>
        <v>0</v>
      </c>
      <c r="I15" s="41">
        <f>IF(B15="","",G15*H15/100)</f>
        <v>0</v>
      </c>
      <c r="J15" s="33">
        <f>IF(B15="", "",+G15-I15)</f>
        <v>7.36</v>
      </c>
      <c r="K15" s="33">
        <f>IF(B15="", "",+J15*1.17)</f>
        <v>8.6112000000000002</v>
      </c>
    </row>
    <row r="16" spans="1:12">
      <c r="A16" s="31" t="str">
        <f>IF(B16="","","2")</f>
        <v>2</v>
      </c>
      <c r="B16" s="79" t="str">
        <f t="array" ref="B16">IFERROR(INDEX('Za fakturisanje'!$B$1:$B$50,SMALL(IF(ISNUMBER('Za fakturisanje'!$P$1:$P$50),ROW('Za fakturisanje'!$P$1:$P$50)),ROW(E2))),"")</f>
        <v>Mikropovrće Rukola</v>
      </c>
      <c r="C16" s="46"/>
      <c r="D16" s="88" t="str">
        <f t="array" ref="D16">IFERROR(INDEX('Za fakturisanje'!$C$1:$C$50,SMALL(IF(ISNUMBER('Za fakturisanje'!$P$1:$P$50),ROW('Za fakturisanje'!$P$1:$P$50)),ROW(E2))),"")</f>
        <v>kom</v>
      </c>
      <c r="E16" s="31">
        <f t="array" ref="E16">IFERROR(INDEX('Za fakturisanje'!$P$1:$P$50,SMALL(IF(ISNUMBER('Za fakturisanje'!$P$1:$P$50),ROW('Za fakturisanje'!$P$1:$P$50)),ROW(E2))),"")</f>
        <v>2</v>
      </c>
      <c r="F16" s="41">
        <f t="array" ref="F16">IFERROR(INDEX('Za fakturisanje'!$E$1:$E$50,SMALL(IF(ISNUMBER('Za fakturisanje'!$P$1:$P$50),ROW('Za fakturisanje'!$P$1:$P$50)),ROW(E2))),"")</f>
        <v>3.68</v>
      </c>
      <c r="G16" s="33">
        <f t="shared" ref="G16:G27" si="0">IF(E16="", "",+E16*F16)</f>
        <v>7.36</v>
      </c>
      <c r="H16" s="31">
        <f>IF(B16="","",VLOOKUP($C$12,kupci!$A:$J,6,FALSE))</f>
        <v>0</v>
      </c>
      <c r="I16" s="41">
        <f t="shared" ref="I16:I27" si="1">IF(B16="","",G16*H16/100)</f>
        <v>0</v>
      </c>
      <c r="J16" s="33">
        <f t="shared" ref="J16:J27" si="2">IF(B16="", "",+G16-I16)</f>
        <v>7.36</v>
      </c>
      <c r="K16" s="33">
        <f t="shared" ref="K16:K27" si="3">IF(B16="", "",+J16*1.17)</f>
        <v>8.6112000000000002</v>
      </c>
    </row>
    <row r="17" spans="1:12">
      <c r="A17" s="31" t="str">
        <f>IF(B17="","","3")</f>
        <v>3</v>
      </c>
      <c r="B17" s="79" t="str">
        <f t="array" ref="B17">IFERROR(INDEX('Za fakturisanje'!$B$1:$B$50,SMALL(IF(ISNUMBER('Za fakturisanje'!$P$1:$P$50),ROW('Za fakturisanje'!$P$1:$P$50)),ROW(E3))),"")</f>
        <v>Mikropovrće china rose</v>
      </c>
      <c r="C17" s="46"/>
      <c r="D17" s="88" t="str">
        <f t="array" ref="D17">IFERROR(INDEX('Za fakturisanje'!$C$1:$C$50,SMALL(IF(ISNUMBER('Za fakturisanje'!$P$1:$P$50),ROW('Za fakturisanje'!$P$1:$P$50)),ROW(E3))),"")</f>
        <v>kom</v>
      </c>
      <c r="E17" s="31">
        <f t="array" ref="E17">IFERROR(INDEX('Za fakturisanje'!$P$1:$P$50,SMALL(IF(ISNUMBER('Za fakturisanje'!$P$1:$P$50),ROW('Za fakturisanje'!$P$1:$P$50)),ROW(E3))),"")</f>
        <v>2</v>
      </c>
      <c r="F17" s="41">
        <f t="array" ref="F17">IFERROR(INDEX('Za fakturisanje'!$E$1:$E$50,SMALL(IF(ISNUMBER('Za fakturisanje'!$P$1:$P$50),ROW('Za fakturisanje'!$P$1:$P$50)),ROW(E3))),"")</f>
        <v>3.68</v>
      </c>
      <c r="G17" s="33">
        <f t="shared" si="0"/>
        <v>7.36</v>
      </c>
      <c r="H17" s="31">
        <f>IF(B17="","",VLOOKUP($C$12,kupci!$A:$J,6,FALSE))</f>
        <v>0</v>
      </c>
      <c r="I17" s="41">
        <f t="shared" si="1"/>
        <v>0</v>
      </c>
      <c r="J17" s="33">
        <f t="shared" si="2"/>
        <v>7.36</v>
      </c>
      <c r="K17" s="33">
        <f t="shared" si="3"/>
        <v>8.6112000000000002</v>
      </c>
    </row>
    <row r="18" spans="1:12">
      <c r="A18" s="31" t="str">
        <f>IF(B18="","","4")</f>
        <v>4</v>
      </c>
      <c r="B18" s="79" t="str">
        <f t="array" ref="B18">IFERROR(INDEX('Za fakturisanje'!$B$1:$B$50,SMALL(IF(ISNUMBER('Za fakturisanje'!$P$1:$P$50),ROW('Za fakturisanje'!$P$1:$P$50)),ROW(E4))),"")</f>
        <v>Mikropovrće vulcano</v>
      </c>
      <c r="C18" s="46"/>
      <c r="D18" s="88" t="str">
        <f t="array" ref="D18">IFERROR(INDEX('Za fakturisanje'!$C$1:$C$50,SMALL(IF(ISNUMBER('Za fakturisanje'!$P$1:$P$50),ROW('Za fakturisanje'!$P$1:$P$50)),ROW(E4))),"")</f>
        <v>kom</v>
      </c>
      <c r="E18" s="31">
        <f t="array" ref="E18">IFERROR(INDEX('Za fakturisanje'!$P$1:$P$50,SMALL(IF(ISNUMBER('Za fakturisanje'!$P$1:$P$50),ROW('Za fakturisanje'!$P$1:$P$50)),ROW(E4))),"")</f>
        <v>3</v>
      </c>
      <c r="F18" s="41">
        <f t="array" ref="F18">IFERROR(INDEX('Za fakturisanje'!$E$1:$E$50,SMALL(IF(ISNUMBER('Za fakturisanje'!$P$1:$P$50),ROW('Za fakturisanje'!$P$1:$P$50)),ROW(E4))),"")</f>
        <v>4.2</v>
      </c>
      <c r="G18" s="33">
        <f t="shared" si="0"/>
        <v>12.600000000000001</v>
      </c>
      <c r="H18" s="31">
        <f>IF(B18="","",VLOOKUP($C$12,kupci!$A:$J,6,FALSE))</f>
        <v>0</v>
      </c>
      <c r="I18" s="41">
        <f t="shared" si="1"/>
        <v>0</v>
      </c>
      <c r="J18" s="33">
        <f t="shared" si="2"/>
        <v>12.600000000000001</v>
      </c>
      <c r="K18" s="33">
        <f t="shared" si="3"/>
        <v>14.742000000000001</v>
      </c>
    </row>
    <row r="19" spans="1:12">
      <c r="A19" s="31" t="str">
        <f>IF(B19="","","5")</f>
        <v>5</v>
      </c>
      <c r="B19" s="79" t="str">
        <f t="array" ref="B19">IFERROR(INDEX('Za fakturisanje'!$B$1:$B$50,SMALL(IF(ISNUMBER('Za fakturisanje'!$P$1:$P$50),ROW('Za fakturisanje'!$P$1:$P$50)),ROW(E5))),"")</f>
        <v>Mikropovrće suncokret</v>
      </c>
      <c r="C19" s="53"/>
      <c r="D19" s="88" t="str">
        <f t="array" ref="D19">IFERROR(INDEX('Za fakturisanje'!$C$1:$C$50,SMALL(IF(ISNUMBER('Za fakturisanje'!$P$1:$P$50),ROW('Za fakturisanje'!$P$1:$P$50)),ROW(E5))),"")</f>
        <v>kom</v>
      </c>
      <c r="E19" s="31">
        <f t="array" ref="E19">IFERROR(INDEX('Za fakturisanje'!$P$1:$P$50,SMALL(IF(ISNUMBER('Za fakturisanje'!$P$1:$P$50),ROW('Za fakturisanje'!$P$1:$P$50)),ROW(E5))),"")</f>
        <v>1</v>
      </c>
      <c r="F19" s="41">
        <f t="array" ref="F19">IFERROR(INDEX('Za fakturisanje'!$E$1:$E$50,SMALL(IF(ISNUMBER('Za fakturisanje'!$P$1:$P$50),ROW('Za fakturisanje'!$P$1:$P$50)),ROW(E5))),"")</f>
        <v>3.68</v>
      </c>
      <c r="G19" s="33">
        <f t="shared" si="0"/>
        <v>3.68</v>
      </c>
      <c r="H19" s="31">
        <f>IF(B19="","",VLOOKUP($C$12,kupci!$A:$J,6,FALSE))</f>
        <v>0</v>
      </c>
      <c r="I19" s="41">
        <f t="shared" si="1"/>
        <v>0</v>
      </c>
      <c r="J19" s="33">
        <f t="shared" si="2"/>
        <v>3.68</v>
      </c>
      <c r="K19" s="33">
        <f t="shared" si="3"/>
        <v>4.3056000000000001</v>
      </c>
    </row>
    <row r="20" spans="1:12">
      <c r="A20" s="31" t="str">
        <f>IF(B20="","","6")</f>
        <v>6</v>
      </c>
      <c r="B20" s="79" t="str">
        <f t="array" ref="B20">IFERROR(INDEX('Za fakturisanje'!$B$1:$B$50,SMALL(IF(ISNUMBER('Za fakturisanje'!$P$1:$P$50),ROW('Za fakturisanje'!$P$1:$P$50)),ROW(E6))),"")</f>
        <v>Mikropovrće daikon</v>
      </c>
      <c r="C20" s="48"/>
      <c r="D20" s="88" t="str">
        <f t="array" ref="D20">IFERROR(INDEX('Za fakturisanje'!$C$1:$C$50,SMALL(IF(ISNUMBER('Za fakturisanje'!$P$1:$P$50),ROW('Za fakturisanje'!$P$1:$P$50)),ROW(E6))),"")</f>
        <v>kom</v>
      </c>
      <c r="E20" s="31">
        <f t="array" ref="E20">IFERROR(INDEX('Za fakturisanje'!$P$1:$P$50,SMALL(IF(ISNUMBER('Za fakturisanje'!$P$1:$P$50),ROW('Za fakturisanje'!$P$1:$P$50)),ROW(E6))),"")</f>
        <v>2</v>
      </c>
      <c r="F20" s="41">
        <f t="array" ref="F20">IFERROR(INDEX('Za fakturisanje'!$E$1:$E$50,SMALL(IF(ISNUMBER('Za fakturisanje'!$P$1:$P$50),ROW('Za fakturisanje'!$P$1:$P$50)),ROW(E6))),"")</f>
        <v>3.68</v>
      </c>
      <c r="G20" s="33">
        <f t="shared" si="0"/>
        <v>7.36</v>
      </c>
      <c r="H20" s="31">
        <f>IF(B20="","",VLOOKUP($C$12,kupci!$A:$J,6,FALSE))</f>
        <v>0</v>
      </c>
      <c r="I20" s="41">
        <f t="shared" si="1"/>
        <v>0</v>
      </c>
      <c r="J20" s="33">
        <f t="shared" si="2"/>
        <v>7.36</v>
      </c>
      <c r="K20" s="33">
        <f t="shared" si="3"/>
        <v>8.6112000000000002</v>
      </c>
    </row>
    <row r="21" spans="1:12">
      <c r="A21" s="31" t="str">
        <f>IF(B21="","","7")</f>
        <v>7</v>
      </c>
      <c r="B21" s="79" t="str">
        <f t="array" ref="B21">IFERROR(INDEX('Za fakturisanje'!$B$1:$B$50,SMALL(IF(ISNUMBER('Za fakturisanje'!$P$1:$P$50),ROW('Za fakturisanje'!$P$1:$P$50)),ROW(E7))),"")</f>
        <v>Mikropovrće keleraba</v>
      </c>
      <c r="C21" s="49"/>
      <c r="D21" s="88" t="str">
        <f t="array" ref="D21">IFERROR(INDEX('Za fakturisanje'!$C$1:$C$50,SMALL(IF(ISNUMBER('Za fakturisanje'!$P$1:$P$50),ROW('Za fakturisanje'!$P$1:$P$50)),ROW(E7))),"")</f>
        <v>kom</v>
      </c>
      <c r="E21" s="31">
        <f t="array" ref="E21">IFERROR(INDEX('Za fakturisanje'!$P$1:$P$50,SMALL(IF(ISNUMBER('Za fakturisanje'!$P$1:$P$50),ROW('Za fakturisanje'!$P$1:$P$50)),ROW(E7))),"")</f>
        <v>2</v>
      </c>
      <c r="F21" s="41">
        <f t="array" ref="F21">IFERROR(INDEX('Za fakturisanje'!$E$1:$E$50,SMALL(IF(ISNUMBER('Za fakturisanje'!$P$1:$P$50),ROW('Za fakturisanje'!$P$1:$P$50)),ROW(E7))),"")</f>
        <v>3.45</v>
      </c>
      <c r="G21" s="33">
        <f t="shared" si="0"/>
        <v>6.9</v>
      </c>
      <c r="H21" s="31">
        <f>IF(B21="","",VLOOKUP($C$12,kupci!$A:$J,6,FALSE))</f>
        <v>0</v>
      </c>
      <c r="I21" s="41">
        <f t="shared" si="1"/>
        <v>0</v>
      </c>
      <c r="J21" s="33">
        <f t="shared" si="2"/>
        <v>6.9</v>
      </c>
      <c r="K21" s="33">
        <f t="shared" si="3"/>
        <v>8.0730000000000004</v>
      </c>
    </row>
    <row r="22" spans="1:12">
      <c r="A22" s="31" t="str">
        <f>IF(B22="","","8")</f>
        <v/>
      </c>
      <c r="B22" s="79" t="str">
        <f t="array" ref="B22">IFERROR(INDEX('Za fakturisanje'!$B$1:$B$50,SMALL(IF(ISNUMBER('Za fakturisanje'!$P$1:$P$50),ROW('Za fakturisanje'!$P$1:$P$50)),ROW(E8))),"")</f>
        <v/>
      </c>
      <c r="C22" s="49"/>
      <c r="D22" s="88" t="str">
        <f t="array" ref="D22">IFERROR(INDEX('Za fakturisanje'!$C$1:$C$50,SMALL(IF(ISNUMBER('Za fakturisanje'!$P$1:$P$50),ROW('Za fakturisanje'!$P$1:$P$50)),ROW(E8))),"")</f>
        <v/>
      </c>
      <c r="E22" s="31" t="str">
        <f t="array" ref="E22">IFERROR(INDEX('Za fakturisanje'!$P$1:$P$50,SMALL(IF(ISNUMBER('Za fakturisanje'!$P$1:$P$50),ROW('Za fakturisanje'!$P$1:$P$50)),ROW(E8))),"")</f>
        <v/>
      </c>
      <c r="F22" s="41" t="str">
        <f t="array" ref="F22">IFERROR(INDEX('Za fakturisanje'!$E$1:$E$50,SMALL(IF(ISNUMBER('Za fakturisanje'!$P$1:$P$50),ROW('Za fakturisanje'!$P$1:$P$50)),ROW(E8))),"")</f>
        <v/>
      </c>
      <c r="G22" s="33" t="str">
        <f t="shared" si="0"/>
        <v/>
      </c>
      <c r="H22" s="31" t="str">
        <f>IF(B22="","",VLOOKUP($C$12,kupci!$A:$J,6,FALSE))</f>
        <v/>
      </c>
      <c r="I22" s="41" t="str">
        <f t="shared" si="1"/>
        <v/>
      </c>
      <c r="J22" s="33" t="str">
        <f t="shared" si="2"/>
        <v/>
      </c>
      <c r="K22" s="33" t="str">
        <f t="shared" si="3"/>
        <v/>
      </c>
    </row>
    <row r="23" spans="1:12">
      <c r="A23" s="31" t="str">
        <f>IF(B23="","","9")</f>
        <v/>
      </c>
      <c r="B23" s="79" t="str">
        <f t="array" ref="B23">IFERROR(INDEX('Za fakturisanje'!$B$1:$B$50,SMALL(IF(ISNUMBER('Za fakturisanje'!$P$1:$P$50),ROW('Za fakturisanje'!$P$1:$P$50)),ROW(E9))),"")</f>
        <v/>
      </c>
      <c r="C23" s="51"/>
      <c r="D23" s="88" t="str">
        <f t="array" ref="D23">IFERROR(INDEX('Za fakturisanje'!$C$1:$C$50,SMALL(IF(ISNUMBER('Za fakturisanje'!$P$1:$P$50),ROW('Za fakturisanje'!$P$1:$P$50)),ROW(E9))),"")</f>
        <v/>
      </c>
      <c r="E23" s="31" t="str">
        <f t="array" ref="E23">IFERROR(INDEX('Za fakturisanje'!$P$1:$P$50,SMALL(IF(ISNUMBER('Za fakturisanje'!$P$1:$P$50),ROW('Za fakturisanje'!$P$1:$P$50)),ROW(E9))),"")</f>
        <v/>
      </c>
      <c r="F23" s="41" t="str">
        <f t="array" ref="F23">IFERROR(INDEX('Za fakturisanje'!$E$1:$E$50,SMALL(IF(ISNUMBER('Za fakturisanje'!$P$1:$P$50),ROW('Za fakturisanje'!$P$1:$P$50)),ROW(E9))),"")</f>
        <v/>
      </c>
      <c r="G23" s="33" t="str">
        <f t="shared" si="0"/>
        <v/>
      </c>
      <c r="H23" s="31" t="str">
        <f>IF(B23="","",VLOOKUP($C$12,kupci!$A:$J,6,FALSE))</f>
        <v/>
      </c>
      <c r="I23" s="41" t="str">
        <f t="shared" si="1"/>
        <v/>
      </c>
      <c r="J23" s="33" t="str">
        <f t="shared" si="2"/>
        <v/>
      </c>
      <c r="K23" s="33" t="str">
        <f t="shared" si="3"/>
        <v/>
      </c>
    </row>
    <row r="24" spans="1:12">
      <c r="A24" s="31" t="str">
        <f>IF(B24="","","10")</f>
        <v/>
      </c>
      <c r="B24" s="79" t="str">
        <f t="array" ref="B24">IFERROR(INDEX('Za fakturisanje'!$B$1:$B$50,SMALL(IF(ISNUMBER('Za fakturisanje'!$P$1:$P$50),ROW('Za fakturisanje'!$P$1:$P$50)),ROW(E10))),"")</f>
        <v/>
      </c>
      <c r="C24" s="52"/>
      <c r="D24" s="88" t="str">
        <f t="array" ref="D24">IFERROR(INDEX('Za fakturisanje'!$C$1:$C$50,SMALL(IF(ISNUMBER('Za fakturisanje'!$P$1:$P$50),ROW('Za fakturisanje'!$P$1:$P$50)),ROW(E10))),"")</f>
        <v/>
      </c>
      <c r="E24" s="31" t="str">
        <f t="array" ref="E24">IFERROR(INDEX('Za fakturisanje'!$P$1:$P$50,SMALL(IF(ISNUMBER('Za fakturisanje'!$P$1:$P$50),ROW('Za fakturisanje'!$P$1:$P$50)),ROW(E10))),"")</f>
        <v/>
      </c>
      <c r="F24" s="41" t="str">
        <f t="array" ref="F24">IFERROR(INDEX('Za fakturisanje'!$E$1:$E$50,SMALL(IF(ISNUMBER('Za fakturisanje'!$P$1:$P$50),ROW('Za fakturisanje'!$P$1:$P$50)),ROW(E10))),"")</f>
        <v/>
      </c>
      <c r="G24" s="33" t="str">
        <f t="shared" si="0"/>
        <v/>
      </c>
      <c r="H24" s="31" t="str">
        <f>IF(B24="","",VLOOKUP($C$12,kupci!$A:$J,6,FALSE))</f>
        <v/>
      </c>
      <c r="I24" s="41" t="str">
        <f t="shared" si="1"/>
        <v/>
      </c>
      <c r="J24" s="33" t="str">
        <f t="shared" si="2"/>
        <v/>
      </c>
      <c r="K24" s="33" t="str">
        <f t="shared" si="3"/>
        <v/>
      </c>
    </row>
    <row r="25" spans="1:12">
      <c r="A25" s="31" t="str">
        <f>IF(B25="","","11")</f>
        <v/>
      </c>
      <c r="B25" s="79" t="str">
        <f t="array" ref="B25">IFERROR(INDEX('Za fakturisanje'!$B$1:$B$50,SMALL(IF(ISNUMBER('Za fakturisanje'!$P$1:$P$50),ROW('Za fakturisanje'!$P$1:$P$50)),ROW(E11))),"")</f>
        <v/>
      </c>
      <c r="C25" s="48"/>
      <c r="D25" s="88" t="str">
        <f t="array" ref="D25">IFERROR(INDEX('Za fakturisanje'!$C$1:$C$50,SMALL(IF(ISNUMBER('Za fakturisanje'!$P$1:$P$50),ROW('Za fakturisanje'!$P$1:$P$50)),ROW(E11))),"")</f>
        <v/>
      </c>
      <c r="E25" s="31" t="str">
        <f t="array" ref="E25">IFERROR(INDEX('Za fakturisanje'!$P$1:$P$50,SMALL(IF(ISNUMBER('Za fakturisanje'!$P$1:$P$50),ROW('Za fakturisanje'!$P$1:$P$50)),ROW(E11))),"")</f>
        <v/>
      </c>
      <c r="F25" s="41" t="str">
        <f t="array" ref="F25">IFERROR(INDEX('Za fakturisanje'!$E$1:$E$50,SMALL(IF(ISNUMBER('Za fakturisanje'!$P$1:$P$50),ROW('Za fakturisanje'!$P$1:$P$50)),ROW(E11))),"")</f>
        <v/>
      </c>
      <c r="G25" s="33" t="str">
        <f t="shared" si="0"/>
        <v/>
      </c>
      <c r="H25" s="31" t="str">
        <f>IF(B25="","",VLOOKUP($C$12,kupci!$A:$J,6,FALSE))</f>
        <v/>
      </c>
      <c r="I25" s="41" t="str">
        <f t="shared" si="1"/>
        <v/>
      </c>
      <c r="J25" s="33" t="str">
        <f t="shared" si="2"/>
        <v/>
      </c>
      <c r="K25" s="33" t="str">
        <f t="shared" si="3"/>
        <v/>
      </c>
    </row>
    <row r="26" spans="1:12">
      <c r="A26" s="31" t="str">
        <f>IF(B26="","","12")</f>
        <v/>
      </c>
      <c r="B26" s="79" t="str">
        <f t="array" ref="B26">IFERROR(INDEX('Za fakturisanje'!$B$1:$B$50,SMALL(IF(ISNUMBER('Za fakturisanje'!$P$1:$P$50),ROW('Za fakturisanje'!$P$1:$P$50)),ROW(E12))),"")</f>
        <v/>
      </c>
      <c r="C26" s="49"/>
      <c r="D26" s="88" t="str">
        <f t="array" ref="D26">IFERROR(INDEX('Za fakturisanje'!$C$1:$C$50,SMALL(IF(ISNUMBER('Za fakturisanje'!$P$1:$P$50),ROW('Za fakturisanje'!$P$1:$P$50)),ROW(E12))),"")</f>
        <v/>
      </c>
      <c r="E26" s="31" t="str">
        <f t="array" ref="E26">IFERROR(INDEX('Za fakturisanje'!$P$1:$P$50,SMALL(IF(ISNUMBER('Za fakturisanje'!$P$1:$P$50),ROW('Za fakturisanje'!$P$1:$P$50)),ROW(E12))),"")</f>
        <v/>
      </c>
      <c r="F26" s="41" t="str">
        <f t="array" ref="F26">IFERROR(INDEX('Za fakturisanje'!$E$1:$E$50,SMALL(IF(ISNUMBER('Za fakturisanje'!$P$1:$P$50),ROW('Za fakturisanje'!$P$1:$P$50)),ROW(E12))),"")</f>
        <v/>
      </c>
      <c r="G26" s="33" t="str">
        <f t="shared" si="0"/>
        <v/>
      </c>
      <c r="H26" s="31" t="str">
        <f>IF(B26="","",VLOOKUP($C$12,kupci!$A:$J,6,FALSE))</f>
        <v/>
      </c>
      <c r="I26" s="41" t="str">
        <f t="shared" si="1"/>
        <v/>
      </c>
      <c r="J26" s="33" t="str">
        <f t="shared" si="2"/>
        <v/>
      </c>
      <c r="K26" s="33" t="str">
        <f t="shared" si="3"/>
        <v/>
      </c>
    </row>
    <row r="27" spans="1:12">
      <c r="A27" s="31" t="str">
        <f>IF(B27="","","13")</f>
        <v/>
      </c>
      <c r="B27" s="79" t="str">
        <f t="array" ref="B27">IFERROR(INDEX('Za fakturisanje'!$B$1:$B$50,SMALL(IF(ISNUMBER('Za fakturisanje'!$P$1:$P$50),ROW('Za fakturisanje'!$P$1:$P$50)),ROW(E13))),"")</f>
        <v/>
      </c>
      <c r="C27" s="50"/>
      <c r="D27" s="88" t="str">
        <f t="array" ref="D27">IFERROR(INDEX('Za fakturisanje'!$C$1:$C$50,SMALL(IF(ISNUMBER('Za fakturisanje'!$P$1:$P$50),ROW('Za fakturisanje'!$P$1:$P$50)),ROW(E13))),"")</f>
        <v/>
      </c>
      <c r="E27" s="31" t="str">
        <f t="array" ref="E27">IFERROR(INDEX('Za fakturisanje'!$P$1:$P$50,SMALL(IF(ISNUMBER('Za fakturisanje'!$P$1:$P$50),ROW('Za fakturisanje'!$P$1:$P$50)),ROW(E13))),"")</f>
        <v/>
      </c>
      <c r="F27" s="41" t="str">
        <f t="array" ref="F27">IFERROR(INDEX('Za fakturisanje'!$E$1:$E$50,SMALL(IF(ISNUMBER('Za fakturisanje'!$P$1:$P$50),ROW('Za fakturisanje'!$P$1:$P$50)),ROW(E13))),"")</f>
        <v/>
      </c>
      <c r="G27" s="33" t="str">
        <f t="shared" si="0"/>
        <v/>
      </c>
      <c r="H27" s="31" t="str">
        <f>IF(B27="","",VLOOKUP($C$12,kupci!$A:$J,6,FALSE))</f>
        <v/>
      </c>
      <c r="I27" s="41" t="str">
        <f t="shared" si="1"/>
        <v/>
      </c>
      <c r="J27" s="33" t="str">
        <f t="shared" si="2"/>
        <v/>
      </c>
      <c r="K27" s="33" t="str">
        <f t="shared" si="3"/>
        <v/>
      </c>
    </row>
    <row r="28" spans="1:12">
      <c r="A28" s="31"/>
      <c r="B28" s="196"/>
      <c r="C28" s="197"/>
      <c r="D28" s="32"/>
      <c r="E28" s="36">
        <f>SUM(E15:E27)</f>
        <v>14</v>
      </c>
      <c r="F28" s="34"/>
      <c r="G28" s="33">
        <f>SUM(G15:G27)</f>
        <v>52.620000000000005</v>
      </c>
      <c r="H28" s="36"/>
      <c r="I28" s="34">
        <f>SUM(I15:I27)</f>
        <v>0</v>
      </c>
      <c r="J28" s="34">
        <f>+G28-I28</f>
        <v>52.620000000000005</v>
      </c>
      <c r="K28" s="34">
        <f>+J28*1.17</f>
        <v>61.565400000000004</v>
      </c>
    </row>
    <row r="29" spans="1:12">
      <c r="A29" s="37"/>
      <c r="B29" s="38"/>
      <c r="C29" s="38"/>
      <c r="D29" s="38"/>
      <c r="E29" s="38"/>
      <c r="F29" s="38"/>
      <c r="G29" s="38"/>
      <c r="H29" s="38"/>
      <c r="I29" s="38"/>
      <c r="J29" s="39"/>
      <c r="K29" s="39"/>
    </row>
    <row r="30" spans="1:12">
      <c r="A30" s="37"/>
      <c r="B30" s="38"/>
      <c r="C30" s="38"/>
      <c r="D30" s="38"/>
      <c r="E30" s="38"/>
      <c r="F30" s="38"/>
      <c r="G30" s="78" t="s">
        <v>302</v>
      </c>
      <c r="H30" s="32"/>
      <c r="I30" s="40"/>
      <c r="J30" s="70"/>
      <c r="K30" s="72">
        <f>TRUNC(ROUND(+G28*1,2),2)</f>
        <v>52.62</v>
      </c>
      <c r="L30" s="74" t="s">
        <v>303</v>
      </c>
    </row>
    <row r="31" spans="1:12">
      <c r="A31" s="37"/>
      <c r="B31" s="38"/>
      <c r="C31" s="38"/>
      <c r="D31" s="38"/>
      <c r="E31" s="38"/>
      <c r="F31" s="38"/>
      <c r="G31" s="79" t="s">
        <v>304</v>
      </c>
      <c r="H31" s="67"/>
      <c r="I31" s="68"/>
      <c r="J31" s="69"/>
      <c r="K31" s="69">
        <f>TRUNC(ROUND(+I28*1,2),2)</f>
        <v>0</v>
      </c>
      <c r="L31" s="75" t="s">
        <v>303</v>
      </c>
    </row>
    <row r="32" spans="1:12">
      <c r="A32" s="37"/>
      <c r="B32" s="38"/>
      <c r="C32" s="38"/>
      <c r="D32" s="38"/>
      <c r="E32" s="38"/>
      <c r="F32" s="38"/>
      <c r="G32" s="78" t="s">
        <v>305</v>
      </c>
      <c r="H32" s="32"/>
      <c r="I32" s="71"/>
      <c r="J32" s="72"/>
      <c r="K32" s="72">
        <f>TRUNC(ROUND(+J28*1,2),2)</f>
        <v>52.62</v>
      </c>
      <c r="L32" s="74" t="s">
        <v>303</v>
      </c>
    </row>
    <row r="33" spans="1:12">
      <c r="A33" s="37"/>
      <c r="B33" s="38"/>
      <c r="C33" s="38"/>
      <c r="D33" s="38"/>
      <c r="E33" s="38"/>
      <c r="F33" s="38"/>
      <c r="G33" s="79" t="s">
        <v>306</v>
      </c>
      <c r="H33" s="67"/>
      <c r="I33" s="68"/>
      <c r="J33" s="69"/>
      <c r="K33" s="69">
        <f>TRUNC(ROUND(K28-J28,2),2)</f>
        <v>8.9499999999999993</v>
      </c>
      <c r="L33" s="75" t="s">
        <v>303</v>
      </c>
    </row>
    <row r="34" spans="1:12" ht="15.6">
      <c r="B34" s="38"/>
      <c r="C34" s="38"/>
      <c r="D34" s="38"/>
      <c r="E34" s="38"/>
      <c r="F34" s="38"/>
      <c r="G34" s="80" t="s">
        <v>307</v>
      </c>
      <c r="H34" s="42"/>
      <c r="I34" s="43"/>
      <c r="J34" s="73"/>
      <c r="K34" s="76">
        <f>TRUNC(ROUND(+K32+K33,2),2)</f>
        <v>61.57</v>
      </c>
      <c r="L34" s="77" t="s">
        <v>303</v>
      </c>
    </row>
    <row r="43" spans="1:12">
      <c r="B43" s="10" t="s">
        <v>308</v>
      </c>
      <c r="H43" s="10" t="s">
        <v>288</v>
      </c>
    </row>
  </sheetData>
  <sheetProtection sheet="1" objects="1" scenarios="1"/>
  <mergeCells count="10">
    <mergeCell ref="H12:I12"/>
    <mergeCell ref="J12:K12"/>
    <mergeCell ref="B14:C14"/>
    <mergeCell ref="B28:C28"/>
    <mergeCell ref="J1:K1"/>
    <mergeCell ref="J2:K2"/>
    <mergeCell ref="J3:K3"/>
    <mergeCell ref="J4:K4"/>
    <mergeCell ref="H11:I11"/>
    <mergeCell ref="J11:K11"/>
  </mergeCells>
  <pageMargins left="0.62992125984251968" right="0.23622047244094491" top="0.74803149606299213" bottom="0.74803149606299213" header="0.31496062992125984" footer="0.31496062992125984"/>
  <pageSetup paperSize="9" orientation="portrait" horizontalDpi="4294967293" verticalDpi="4294967293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A9A80-7761-44D3-9F3A-0CB1F58F2EF5}">
  <sheetPr codeName="Sheet17"/>
  <dimension ref="A1:L43"/>
  <sheetViews>
    <sheetView zoomScaleNormal="100" workbookViewId="0">
      <selection activeCell="J3" sqref="J3:K3"/>
    </sheetView>
  </sheetViews>
  <sheetFormatPr defaultRowHeight="14.45"/>
  <cols>
    <col min="1" max="1" width="3.28515625" style="9" customWidth="1"/>
    <col min="2" max="2" width="14.28515625" style="10" customWidth="1"/>
    <col min="3" max="3" width="15.5703125" style="10" customWidth="1"/>
    <col min="4" max="4" width="5.140625" style="10" bestFit="1" customWidth="1"/>
    <col min="5" max="5" width="5.140625" style="10" customWidth="1"/>
    <col min="6" max="6" width="5.5703125" style="10" customWidth="1"/>
    <col min="7" max="7" width="8" style="10" customWidth="1"/>
    <col min="8" max="8" width="3.7109375" style="10" customWidth="1"/>
    <col min="9" max="9" width="5.7109375" style="29" customWidth="1"/>
    <col min="10" max="10" width="7.42578125" style="10" customWidth="1"/>
    <col min="11" max="11" width="10.28515625" style="10" customWidth="1"/>
    <col min="12" max="12" width="3.42578125" style="10" customWidth="1"/>
  </cols>
  <sheetData>
    <row r="1" spans="1:12">
      <c r="G1" s="82" t="s">
        <v>278</v>
      </c>
      <c r="H1" s="82"/>
      <c r="I1" s="11"/>
      <c r="J1" s="204">
        <v>22196</v>
      </c>
      <c r="K1" s="204"/>
    </row>
    <row r="2" spans="1:12">
      <c r="G2" s="81" t="s">
        <v>279</v>
      </c>
      <c r="H2" s="81"/>
      <c r="I2" s="11"/>
      <c r="J2" s="194">
        <v>1224</v>
      </c>
      <c r="K2" s="194"/>
    </row>
    <row r="3" spans="1:12">
      <c r="G3" s="81" t="s">
        <v>212</v>
      </c>
      <c r="H3" s="81"/>
      <c r="I3" s="13"/>
      <c r="J3" s="195">
        <f ca="1">'Za KIF-a'!L1</f>
        <v>44635</v>
      </c>
      <c r="K3" s="195"/>
    </row>
    <row r="4" spans="1:12">
      <c r="G4" s="81" t="s">
        <v>214</v>
      </c>
      <c r="H4" s="81"/>
      <c r="I4" s="13"/>
      <c r="J4" s="195">
        <f ca="1">'Za KIF-a'!L2</f>
        <v>44636</v>
      </c>
      <c r="K4" s="195"/>
    </row>
    <row r="5" spans="1:12">
      <c r="G5" s="81" t="s">
        <v>280</v>
      </c>
      <c r="H5" s="81"/>
      <c r="I5" s="13"/>
      <c r="J5" s="14" t="str">
        <f>VLOOKUP($C$12,kupci!$A:$J,7,FALSE)</f>
        <v>7 dana</v>
      </c>
      <c r="K5" s="14"/>
    </row>
    <row r="6" spans="1:12">
      <c r="B6" s="15" t="s">
        <v>281</v>
      </c>
      <c r="C6" s="16"/>
      <c r="D6" s="15"/>
      <c r="E6" s="16"/>
      <c r="F6" s="16" t="s">
        <v>282</v>
      </c>
      <c r="G6" s="16"/>
      <c r="H6" s="16"/>
      <c r="I6" s="16"/>
      <c r="J6" s="17"/>
      <c r="K6" s="16"/>
    </row>
    <row r="7" spans="1:12">
      <c r="B7" s="15" t="s">
        <v>283</v>
      </c>
      <c r="C7" s="16"/>
      <c r="D7" s="15"/>
      <c r="E7" s="16"/>
      <c r="F7" s="16" t="s">
        <v>284</v>
      </c>
      <c r="G7" s="16"/>
      <c r="H7" s="16"/>
      <c r="I7" s="16"/>
      <c r="J7" s="17"/>
      <c r="K7" s="16"/>
    </row>
    <row r="8" spans="1:12">
      <c r="B8" s="15" t="s">
        <v>14</v>
      </c>
      <c r="C8" s="16"/>
      <c r="D8" s="15"/>
      <c r="E8" s="16"/>
      <c r="F8" s="15" t="s">
        <v>285</v>
      </c>
      <c r="G8" s="16"/>
      <c r="H8" s="16"/>
      <c r="I8" s="16"/>
      <c r="J8" s="17"/>
      <c r="K8" s="16"/>
    </row>
    <row r="9" spans="1:12">
      <c r="B9" s="18" t="s">
        <v>286</v>
      </c>
      <c r="C9" s="19"/>
      <c r="D9" s="18"/>
      <c r="E9" s="19"/>
      <c r="F9" s="20" t="s">
        <v>287</v>
      </c>
      <c r="G9" s="19"/>
      <c r="H9" s="19"/>
      <c r="I9" s="19"/>
      <c r="J9" s="21"/>
      <c r="K9" s="19"/>
    </row>
    <row r="10" spans="1:12">
      <c r="B10" s="22" t="s">
        <v>288</v>
      </c>
      <c r="C10" s="28" t="str">
        <f>VLOOKUP($C$12,kupci!$A:$J,2,FALSE)</f>
        <v>UR "Park Prinčeva"</v>
      </c>
      <c r="D10" s="24"/>
      <c r="E10" s="24"/>
      <c r="F10" s="23"/>
      <c r="G10" s="25"/>
      <c r="H10" s="25"/>
      <c r="I10" s="26"/>
      <c r="J10" s="25"/>
      <c r="K10" s="25"/>
    </row>
    <row r="11" spans="1:12">
      <c r="B11" s="27" t="s">
        <v>289</v>
      </c>
      <c r="C11" s="28" t="str">
        <f>VLOOKUP($C$12,kupci!$A:$J,3,FALSE)</f>
        <v>Sarajevo, 71000</v>
      </c>
      <c r="D11" s="28"/>
      <c r="E11" s="28"/>
      <c r="F11" s="28"/>
      <c r="H11" s="200" t="str">
        <f>IF(J11="*", "",  "PDV broj")</f>
        <v>PDV broj</v>
      </c>
      <c r="I11" s="200"/>
      <c r="J11" s="198">
        <f>VLOOKUP($C$12,kupci!$A:$J,4,FALSE)</f>
        <v>301174760009</v>
      </c>
      <c r="K11" s="198"/>
    </row>
    <row r="12" spans="1:12">
      <c r="B12" s="27" t="s">
        <v>290</v>
      </c>
      <c r="C12" s="23" t="str">
        <f>'Za fakturisanje'!Q$2</f>
        <v>Park Prinčeva, Iza Hrida 7</v>
      </c>
      <c r="D12" s="28"/>
      <c r="E12" s="28"/>
      <c r="F12" s="28"/>
      <c r="H12" s="201" t="str">
        <f>IF(J12="*", "",  "ID broj")</f>
        <v>ID broj</v>
      </c>
      <c r="I12" s="201"/>
      <c r="J12" s="199">
        <f>VLOOKUP($C$12,kupci!$A:$J,5,FALSE)</f>
        <v>4301174760009</v>
      </c>
      <c r="K12" s="199"/>
    </row>
    <row r="13" spans="1:12">
      <c r="C13" s="9"/>
      <c r="D13" s="9"/>
      <c r="K13" s="10" t="s">
        <v>291</v>
      </c>
    </row>
    <row r="14" spans="1:12" s="35" customFormat="1" ht="39.6" customHeight="1">
      <c r="A14" s="54" t="s">
        <v>292</v>
      </c>
      <c r="B14" s="202" t="s">
        <v>293</v>
      </c>
      <c r="C14" s="203"/>
      <c r="D14" s="30" t="s">
        <v>294</v>
      </c>
      <c r="E14" s="55" t="s">
        <v>295</v>
      </c>
      <c r="F14" s="30" t="s">
        <v>296</v>
      </c>
      <c r="G14" s="30" t="s">
        <v>297</v>
      </c>
      <c r="H14" s="61" t="s">
        <v>298</v>
      </c>
      <c r="I14" s="30" t="s">
        <v>299</v>
      </c>
      <c r="J14" s="30" t="s">
        <v>300</v>
      </c>
      <c r="K14" s="30" t="s">
        <v>301</v>
      </c>
      <c r="L14" s="56"/>
    </row>
    <row r="15" spans="1:12">
      <c r="A15" s="31" t="str">
        <f>IF(B15="","","1")</f>
        <v>1</v>
      </c>
      <c r="B15" s="79" t="str">
        <f t="array" ref="B15">IFERROR(INDEX('Za fakturisanje'!$B$1:$B$50,SMALL(IF(ISNUMBER('Za fakturisanje'!$Q$1:$Q$50),ROW('Za fakturisanje'!$Q$1:$Q$50)),ROW(E1))),"")</f>
        <v>Mikropovrće Rukola</v>
      </c>
      <c r="C15" s="46"/>
      <c r="D15" s="88" t="str">
        <f t="array" ref="D15">IFERROR(INDEX('Za fakturisanje'!$C$1:$C$50,SMALL(IF(ISNUMBER('Za fakturisanje'!$Q$1:$Q$50),ROW('Za fakturisanje'!$Q$1:$Q$50)),ROW(E1))),"")</f>
        <v>kom</v>
      </c>
      <c r="E15" s="31">
        <f t="array" ref="E15">IFERROR(INDEX('Za fakturisanje'!$Q$1:$Q$50,SMALL(IF(ISNUMBER('Za fakturisanje'!$Q$1:$Q$50),ROW('Za fakturisanje'!$Q$1:$Q$50)),ROW(E1))),"")</f>
        <v>4</v>
      </c>
      <c r="F15" s="41">
        <f t="array" ref="F15">IFERROR(INDEX('Za fakturisanje'!$E$1:$E$50,SMALL(IF(ISNUMBER('Za fakturisanje'!$Q$1:$Q$50),ROW('Za fakturisanje'!$Q$1:$Q$50)),ROW(E1))),"")</f>
        <v>3.68</v>
      </c>
      <c r="G15" s="33">
        <f>IF(E15="", "",+E15*F15)</f>
        <v>14.72</v>
      </c>
      <c r="H15" s="31">
        <f>IF(B15="","",VLOOKUP($C$12,kupci!$A:$J,6,FALSE))</f>
        <v>0</v>
      </c>
      <c r="I15" s="41">
        <f>IF(B15="","",G15*H15/100)</f>
        <v>0</v>
      </c>
      <c r="J15" s="33">
        <f>IF(B15="", "",+G15-I15)</f>
        <v>14.72</v>
      </c>
      <c r="K15" s="33">
        <f>IF(B15="", "",+J15*1.17)</f>
        <v>17.2224</v>
      </c>
    </row>
    <row r="16" spans="1:12">
      <c r="A16" s="31" t="str">
        <f>IF(B16="","","2")</f>
        <v>2</v>
      </c>
      <c r="B16" s="79" t="str">
        <f t="array" ref="B16">IFERROR(INDEX('Za fakturisanje'!$B$1:$B$50,SMALL(IF(ISNUMBER('Za fakturisanje'!$Q$1:$Q$50),ROW('Za fakturisanje'!$Q$1:$Q$50)),ROW(E2))),"")</f>
        <v>Mikropovrće china rose</v>
      </c>
      <c r="C16" s="46"/>
      <c r="D16" s="88" t="str">
        <f t="array" ref="D16">IFERROR(INDEX('Za fakturisanje'!$C$1:$C$50,SMALL(IF(ISNUMBER('Za fakturisanje'!$Q$1:$Q$50),ROW('Za fakturisanje'!$Q$1:$Q$50)),ROW(E2))),"")</f>
        <v>kom</v>
      </c>
      <c r="E16" s="31">
        <f t="array" ref="E16">IFERROR(INDEX('Za fakturisanje'!$Q$1:$Q$50,SMALL(IF(ISNUMBER('Za fakturisanje'!$Q$1:$Q$50),ROW('Za fakturisanje'!$Q$1:$Q$50)),ROW(E2))),"")</f>
        <v>1</v>
      </c>
      <c r="F16" s="41">
        <f t="array" ref="F16">IFERROR(INDEX('Za fakturisanje'!$E$1:$E$50,SMALL(IF(ISNUMBER('Za fakturisanje'!$Q$1:$Q$50),ROW('Za fakturisanje'!$Q$1:$Q$50)),ROW(E2))),"")</f>
        <v>3.68</v>
      </c>
      <c r="G16" s="33">
        <f t="shared" ref="G16:G27" si="0">IF(E16="", "",+E16*F16)</f>
        <v>3.68</v>
      </c>
      <c r="H16" s="31">
        <f>IF(B16="","",VLOOKUP($C$12,kupci!$A:$J,6,FALSE))</f>
        <v>0</v>
      </c>
      <c r="I16" s="41">
        <f t="shared" ref="I16:I27" si="1">IF(B16="","",G16*H16/100)</f>
        <v>0</v>
      </c>
      <c r="J16" s="33">
        <f t="shared" ref="J16:J27" si="2">IF(B16="", "",+G16-I16)</f>
        <v>3.68</v>
      </c>
      <c r="K16" s="33">
        <f t="shared" ref="K16:K27" si="3">IF(B16="", "",+J16*1.17)</f>
        <v>4.3056000000000001</v>
      </c>
    </row>
    <row r="17" spans="1:12">
      <c r="A17" s="31" t="str">
        <f>IF(B17="","","3")</f>
        <v>3</v>
      </c>
      <c r="B17" s="79" t="str">
        <f t="array" ref="B17">IFERROR(INDEX('Za fakturisanje'!$B$1:$B$50,SMALL(IF(ISNUMBER('Za fakturisanje'!$Q$1:$Q$50),ROW('Za fakturisanje'!$Q$1:$Q$50)),ROW(E3))),"")</f>
        <v>Mikropovrće daikon</v>
      </c>
      <c r="C17" s="46"/>
      <c r="D17" s="88" t="str">
        <f t="array" ref="D17">IFERROR(INDEX('Za fakturisanje'!$C$1:$C$50,SMALL(IF(ISNUMBER('Za fakturisanje'!$Q$1:$Q$50),ROW('Za fakturisanje'!$Q$1:$Q$50)),ROW(E3))),"")</f>
        <v>kom</v>
      </c>
      <c r="E17" s="31">
        <f t="array" ref="E17">IFERROR(INDEX('Za fakturisanje'!$Q$1:$Q$50,SMALL(IF(ISNUMBER('Za fakturisanje'!$Q$1:$Q$50),ROW('Za fakturisanje'!$Q$1:$Q$50)),ROW(E3))),"")</f>
        <v>1</v>
      </c>
      <c r="F17" s="41">
        <f t="array" ref="F17">IFERROR(INDEX('Za fakturisanje'!$E$1:$E$50,SMALL(IF(ISNUMBER('Za fakturisanje'!$Q$1:$Q$50),ROW('Za fakturisanje'!$Q$1:$Q$50)),ROW(E3))),"")</f>
        <v>3.68</v>
      </c>
      <c r="G17" s="33">
        <f t="shared" si="0"/>
        <v>3.68</v>
      </c>
      <c r="H17" s="31">
        <f>IF(B17="","",VLOOKUP($C$12,kupci!$A:$J,6,FALSE))</f>
        <v>0</v>
      </c>
      <c r="I17" s="41">
        <f t="shared" si="1"/>
        <v>0</v>
      </c>
      <c r="J17" s="33">
        <f t="shared" si="2"/>
        <v>3.68</v>
      </c>
      <c r="K17" s="33">
        <f t="shared" si="3"/>
        <v>4.3056000000000001</v>
      </c>
    </row>
    <row r="18" spans="1:12">
      <c r="A18" s="31" t="str">
        <f>IF(B18="","","4")</f>
        <v>4</v>
      </c>
      <c r="B18" s="79" t="str">
        <f t="array" ref="B18">IFERROR(INDEX('Za fakturisanje'!$B$1:$B$50,SMALL(IF(ISNUMBER('Za fakturisanje'!$Q$1:$Q$50),ROW('Za fakturisanje'!$Q$1:$Q$50)),ROW(E4))),"")</f>
        <v>Mikropovrće keleraba</v>
      </c>
      <c r="C18" s="46"/>
      <c r="D18" s="88" t="str">
        <f t="array" ref="D18">IFERROR(INDEX('Za fakturisanje'!$C$1:$C$50,SMALL(IF(ISNUMBER('Za fakturisanje'!$Q$1:$Q$50),ROW('Za fakturisanje'!$Q$1:$Q$50)),ROW(E4))),"")</f>
        <v>kom</v>
      </c>
      <c r="E18" s="31">
        <f t="array" ref="E18">IFERROR(INDEX('Za fakturisanje'!$Q$1:$Q$50,SMALL(IF(ISNUMBER('Za fakturisanje'!$Q$1:$Q$50),ROW('Za fakturisanje'!$Q$1:$Q$50)),ROW(E4))),"")</f>
        <v>4</v>
      </c>
      <c r="F18" s="41">
        <f t="array" ref="F18">IFERROR(INDEX('Za fakturisanje'!$E$1:$E$50,SMALL(IF(ISNUMBER('Za fakturisanje'!$Q$1:$Q$50),ROW('Za fakturisanje'!$Q$1:$Q$50)),ROW(E4))),"")</f>
        <v>3.45</v>
      </c>
      <c r="G18" s="33">
        <f t="shared" si="0"/>
        <v>13.8</v>
      </c>
      <c r="H18" s="31">
        <f>IF(B18="","",VLOOKUP($C$12,kupci!$A:$J,6,FALSE))</f>
        <v>0</v>
      </c>
      <c r="I18" s="41">
        <f t="shared" si="1"/>
        <v>0</v>
      </c>
      <c r="J18" s="33">
        <f t="shared" si="2"/>
        <v>13.8</v>
      </c>
      <c r="K18" s="33">
        <f t="shared" si="3"/>
        <v>16.146000000000001</v>
      </c>
    </row>
    <row r="19" spans="1:12">
      <c r="A19" s="31" t="str">
        <f>IF(B19="","","5")</f>
        <v/>
      </c>
      <c r="B19" s="79" t="str">
        <f t="array" ref="B19">IFERROR(INDEX('Za fakturisanje'!$B$1:$B$50,SMALL(IF(ISNUMBER('Za fakturisanje'!$Q$1:$Q$50),ROW('Za fakturisanje'!$Q$1:$Q$50)),ROW(E5))),"")</f>
        <v/>
      </c>
      <c r="C19" s="53"/>
      <c r="D19" s="88" t="str">
        <f t="array" ref="D19">IFERROR(INDEX('Za fakturisanje'!$C$1:$C$50,SMALL(IF(ISNUMBER('Za fakturisanje'!$Q$1:$Q$50),ROW('Za fakturisanje'!$Q$1:$Q$50)),ROW(E5))),"")</f>
        <v/>
      </c>
      <c r="E19" s="31" t="str">
        <f t="array" ref="E19">IFERROR(INDEX('Za fakturisanje'!$Q$1:$Q$50,SMALL(IF(ISNUMBER('Za fakturisanje'!$Q$1:$Q$50),ROW('Za fakturisanje'!$Q$1:$Q$50)),ROW(E5))),"")</f>
        <v/>
      </c>
      <c r="F19" s="41" t="str">
        <f t="array" ref="F19">IFERROR(INDEX('Za fakturisanje'!$E$1:$E$50,SMALL(IF(ISNUMBER('Za fakturisanje'!$Q$1:$Q$50),ROW('Za fakturisanje'!$Q$1:$Q$50)),ROW(E5))),"")</f>
        <v/>
      </c>
      <c r="G19" s="33" t="str">
        <f t="shared" si="0"/>
        <v/>
      </c>
      <c r="H19" s="31" t="str">
        <f>IF(B19="","",VLOOKUP($C$12,kupci!$A:$J,6,FALSE))</f>
        <v/>
      </c>
      <c r="I19" s="41" t="str">
        <f t="shared" si="1"/>
        <v/>
      </c>
      <c r="J19" s="33" t="str">
        <f t="shared" si="2"/>
        <v/>
      </c>
      <c r="K19" s="33" t="str">
        <f t="shared" si="3"/>
        <v/>
      </c>
    </row>
    <row r="20" spans="1:12">
      <c r="A20" s="31" t="str">
        <f>IF(B20="","","6")</f>
        <v/>
      </c>
      <c r="B20" s="79" t="str">
        <f t="array" ref="B20">IFERROR(INDEX('Za fakturisanje'!$B$1:$B$50,SMALL(IF(ISNUMBER('Za fakturisanje'!$Q$1:$Q$50),ROW('Za fakturisanje'!$Q$1:$Q$50)),ROW(E6))),"")</f>
        <v/>
      </c>
      <c r="C20" s="48"/>
      <c r="D20" s="88" t="str">
        <f t="array" ref="D20">IFERROR(INDEX('Za fakturisanje'!$C$1:$C$50,SMALL(IF(ISNUMBER('Za fakturisanje'!$Q$1:$Q$50),ROW('Za fakturisanje'!$Q$1:$Q$50)),ROW(E6))),"")</f>
        <v/>
      </c>
      <c r="E20" s="31" t="str">
        <f t="array" ref="E20">IFERROR(INDEX('Za fakturisanje'!$Q$1:$Q$50,SMALL(IF(ISNUMBER('Za fakturisanje'!$Q$1:$Q$50),ROW('Za fakturisanje'!$Q$1:$Q$50)),ROW(E6))),"")</f>
        <v/>
      </c>
      <c r="F20" s="41" t="str">
        <f t="array" ref="F20">IFERROR(INDEX('Za fakturisanje'!$E$1:$E$50,SMALL(IF(ISNUMBER('Za fakturisanje'!$Q$1:$Q$50),ROW('Za fakturisanje'!$Q$1:$Q$50)),ROW(E6))),"")</f>
        <v/>
      </c>
      <c r="G20" s="33" t="str">
        <f t="shared" si="0"/>
        <v/>
      </c>
      <c r="H20" s="31" t="str">
        <f>IF(B20="","",VLOOKUP($C$12,kupci!$A:$J,6,FALSE))</f>
        <v/>
      </c>
      <c r="I20" s="41" t="str">
        <f t="shared" si="1"/>
        <v/>
      </c>
      <c r="J20" s="33" t="str">
        <f t="shared" si="2"/>
        <v/>
      </c>
      <c r="K20" s="33" t="str">
        <f t="shared" si="3"/>
        <v/>
      </c>
    </row>
    <row r="21" spans="1:12">
      <c r="A21" s="31" t="str">
        <f>IF(B21="","","7")</f>
        <v/>
      </c>
      <c r="B21" s="79" t="str">
        <f t="array" ref="B21">IFERROR(INDEX('Za fakturisanje'!$B$1:$B$50,SMALL(IF(ISNUMBER('Za fakturisanje'!$Q$1:$Q$50),ROW('Za fakturisanje'!$Q$1:$Q$50)),ROW(E7))),"")</f>
        <v/>
      </c>
      <c r="C21" s="49"/>
      <c r="D21" s="88" t="str">
        <f t="array" ref="D21">IFERROR(INDEX('Za fakturisanje'!$C$1:$C$50,SMALL(IF(ISNUMBER('Za fakturisanje'!$Q$1:$Q$50),ROW('Za fakturisanje'!$Q$1:$Q$50)),ROW(E7))),"")</f>
        <v/>
      </c>
      <c r="E21" s="31" t="str">
        <f t="array" ref="E21">IFERROR(INDEX('Za fakturisanje'!$Q$1:$Q$50,SMALL(IF(ISNUMBER('Za fakturisanje'!$Q$1:$Q$50),ROW('Za fakturisanje'!$Q$1:$Q$50)),ROW(E7))),"")</f>
        <v/>
      </c>
      <c r="F21" s="41" t="str">
        <f t="array" ref="F21">IFERROR(INDEX('Za fakturisanje'!$E$1:$E$50,SMALL(IF(ISNUMBER('Za fakturisanje'!$Q$1:$Q$50),ROW('Za fakturisanje'!$Q$1:$Q$50)),ROW(E7))),"")</f>
        <v/>
      </c>
      <c r="G21" s="33" t="str">
        <f t="shared" si="0"/>
        <v/>
      </c>
      <c r="H21" s="31" t="str">
        <f>IF(B21="","",VLOOKUP($C$12,kupci!$A:$J,6,FALSE))</f>
        <v/>
      </c>
      <c r="I21" s="41" t="str">
        <f t="shared" si="1"/>
        <v/>
      </c>
      <c r="J21" s="33" t="str">
        <f t="shared" si="2"/>
        <v/>
      </c>
      <c r="K21" s="33" t="str">
        <f t="shared" si="3"/>
        <v/>
      </c>
    </row>
    <row r="22" spans="1:12">
      <c r="A22" s="31" t="str">
        <f>IF(B22="","","8")</f>
        <v/>
      </c>
      <c r="B22" s="79" t="str">
        <f t="array" ref="B22">IFERROR(INDEX('Za fakturisanje'!$B$1:$B$50,SMALL(IF(ISNUMBER('Za fakturisanje'!$Q$1:$Q$50),ROW('Za fakturisanje'!$Q$1:$Q$50)),ROW(E8))),"")</f>
        <v/>
      </c>
      <c r="C22" s="49"/>
      <c r="D22" s="88" t="str">
        <f t="array" ref="D22">IFERROR(INDEX('Za fakturisanje'!$C$1:$C$50,SMALL(IF(ISNUMBER('Za fakturisanje'!$Q$1:$Q$50),ROW('Za fakturisanje'!$Q$1:$Q$50)),ROW(E8))),"")</f>
        <v/>
      </c>
      <c r="E22" s="31" t="str">
        <f t="array" ref="E22">IFERROR(INDEX('Za fakturisanje'!$Q$1:$Q$50,SMALL(IF(ISNUMBER('Za fakturisanje'!$Q$1:$Q$50),ROW('Za fakturisanje'!$Q$1:$Q$50)),ROW(E8))),"")</f>
        <v/>
      </c>
      <c r="F22" s="41" t="str">
        <f t="array" ref="F22">IFERROR(INDEX('Za fakturisanje'!$E$1:$E$50,SMALL(IF(ISNUMBER('Za fakturisanje'!$Q$1:$Q$50),ROW('Za fakturisanje'!$Q$1:$Q$50)),ROW(E8))),"")</f>
        <v/>
      </c>
      <c r="G22" s="33" t="str">
        <f t="shared" si="0"/>
        <v/>
      </c>
      <c r="H22" s="31" t="str">
        <f>IF(B22="","",VLOOKUP($C$12,kupci!$A:$J,6,FALSE))</f>
        <v/>
      </c>
      <c r="I22" s="41" t="str">
        <f t="shared" si="1"/>
        <v/>
      </c>
      <c r="J22" s="33" t="str">
        <f t="shared" si="2"/>
        <v/>
      </c>
      <c r="K22" s="33" t="str">
        <f t="shared" si="3"/>
        <v/>
      </c>
    </row>
    <row r="23" spans="1:12">
      <c r="A23" s="31" t="str">
        <f>IF(B23="","","9")</f>
        <v/>
      </c>
      <c r="B23" s="79" t="str">
        <f t="array" ref="B23">IFERROR(INDEX('Za fakturisanje'!$B$1:$B$50,SMALL(IF(ISNUMBER('Za fakturisanje'!$Q$1:$Q$50),ROW('Za fakturisanje'!$Q$1:$Q$50)),ROW(E9))),"")</f>
        <v/>
      </c>
      <c r="C23" s="51"/>
      <c r="D23" s="88" t="str">
        <f t="array" ref="D23">IFERROR(INDEX('Za fakturisanje'!$C$1:$C$50,SMALL(IF(ISNUMBER('Za fakturisanje'!$Q$1:$Q$50),ROW('Za fakturisanje'!$Q$1:$Q$50)),ROW(E9))),"")</f>
        <v/>
      </c>
      <c r="E23" s="31" t="str">
        <f t="array" ref="E23">IFERROR(INDEX('Za fakturisanje'!$Q$1:$Q$50,SMALL(IF(ISNUMBER('Za fakturisanje'!$Q$1:$Q$50),ROW('Za fakturisanje'!$Q$1:$Q$50)),ROW(E9))),"")</f>
        <v/>
      </c>
      <c r="F23" s="41" t="str">
        <f t="array" ref="F23">IFERROR(INDEX('Za fakturisanje'!$E$1:$E$50,SMALL(IF(ISNUMBER('Za fakturisanje'!$Q$1:$Q$50),ROW('Za fakturisanje'!$Q$1:$Q$50)),ROW(E9))),"")</f>
        <v/>
      </c>
      <c r="G23" s="33" t="str">
        <f t="shared" si="0"/>
        <v/>
      </c>
      <c r="H23" s="31" t="str">
        <f>IF(B23="","",VLOOKUP($C$12,kupci!$A:$J,6,FALSE))</f>
        <v/>
      </c>
      <c r="I23" s="41" t="str">
        <f t="shared" si="1"/>
        <v/>
      </c>
      <c r="J23" s="33" t="str">
        <f t="shared" si="2"/>
        <v/>
      </c>
      <c r="K23" s="33" t="str">
        <f t="shared" si="3"/>
        <v/>
      </c>
    </row>
    <row r="24" spans="1:12">
      <c r="A24" s="31" t="str">
        <f>IF(B24="","","10")</f>
        <v/>
      </c>
      <c r="B24" s="79" t="str">
        <f t="array" ref="B24">IFERROR(INDEX('Za fakturisanje'!$B$1:$B$50,SMALL(IF(ISNUMBER('Za fakturisanje'!$Q$1:$Q$50),ROW('Za fakturisanje'!$Q$1:$Q$50)),ROW(E10))),"")</f>
        <v/>
      </c>
      <c r="C24" s="52"/>
      <c r="D24" s="88" t="str">
        <f t="array" ref="D24">IFERROR(INDEX('Za fakturisanje'!$C$1:$C$50,SMALL(IF(ISNUMBER('Za fakturisanje'!$Q$1:$Q$50),ROW('Za fakturisanje'!$Q$1:$Q$50)),ROW(E10))),"")</f>
        <v/>
      </c>
      <c r="E24" s="31" t="str">
        <f t="array" ref="E24">IFERROR(INDEX('Za fakturisanje'!$Q$1:$Q$50,SMALL(IF(ISNUMBER('Za fakturisanje'!$Q$1:$Q$50),ROW('Za fakturisanje'!$Q$1:$Q$50)),ROW(E10))),"")</f>
        <v/>
      </c>
      <c r="F24" s="41" t="str">
        <f t="array" ref="F24">IFERROR(INDEX('Za fakturisanje'!$E$1:$E$50,SMALL(IF(ISNUMBER('Za fakturisanje'!$Q$1:$Q$50),ROW('Za fakturisanje'!$Q$1:$Q$50)),ROW(E10))),"")</f>
        <v/>
      </c>
      <c r="G24" s="33" t="str">
        <f t="shared" si="0"/>
        <v/>
      </c>
      <c r="H24" s="31" t="str">
        <f>IF(B24="","",VLOOKUP($C$12,kupci!$A:$J,6,FALSE))</f>
        <v/>
      </c>
      <c r="I24" s="41" t="str">
        <f t="shared" si="1"/>
        <v/>
      </c>
      <c r="J24" s="33" t="str">
        <f t="shared" si="2"/>
        <v/>
      </c>
      <c r="K24" s="33" t="str">
        <f t="shared" si="3"/>
        <v/>
      </c>
    </row>
    <row r="25" spans="1:12">
      <c r="A25" s="31" t="str">
        <f>IF(B25="","","11")</f>
        <v/>
      </c>
      <c r="B25" s="79" t="str">
        <f t="array" ref="B25">IFERROR(INDEX('Za fakturisanje'!$B$1:$B$50,SMALL(IF(ISNUMBER('Za fakturisanje'!$Q$1:$Q$50),ROW('Za fakturisanje'!$Q$1:$Q$50)),ROW(E11))),"")</f>
        <v/>
      </c>
      <c r="C25" s="48"/>
      <c r="D25" s="88" t="str">
        <f t="array" ref="D25">IFERROR(INDEX('Za fakturisanje'!$C$1:$C$50,SMALL(IF(ISNUMBER('Za fakturisanje'!$Q$1:$Q$50),ROW('Za fakturisanje'!$Q$1:$Q$50)),ROW(E11))),"")</f>
        <v/>
      </c>
      <c r="E25" s="31" t="str">
        <f t="array" ref="E25">IFERROR(INDEX('Za fakturisanje'!$Q$1:$Q$50,SMALL(IF(ISNUMBER('Za fakturisanje'!$Q$1:$Q$50),ROW('Za fakturisanje'!$Q$1:$Q$50)),ROW(E11))),"")</f>
        <v/>
      </c>
      <c r="F25" s="41" t="str">
        <f t="array" ref="F25">IFERROR(INDEX('Za fakturisanje'!$E$1:$E$50,SMALL(IF(ISNUMBER('Za fakturisanje'!$Q$1:$Q$50),ROW('Za fakturisanje'!$Q$1:$Q$50)),ROW(E11))),"")</f>
        <v/>
      </c>
      <c r="G25" s="33" t="str">
        <f t="shared" si="0"/>
        <v/>
      </c>
      <c r="H25" s="31" t="str">
        <f>IF(B25="","",VLOOKUP($C$12,kupci!$A:$J,6,FALSE))</f>
        <v/>
      </c>
      <c r="I25" s="41" t="str">
        <f t="shared" si="1"/>
        <v/>
      </c>
      <c r="J25" s="33" t="str">
        <f t="shared" si="2"/>
        <v/>
      </c>
      <c r="K25" s="33" t="str">
        <f t="shared" si="3"/>
        <v/>
      </c>
    </row>
    <row r="26" spans="1:12">
      <c r="A26" s="31" t="str">
        <f>IF(B26="","","12")</f>
        <v/>
      </c>
      <c r="B26" s="79" t="str">
        <f t="array" ref="B26">IFERROR(INDEX('Za fakturisanje'!$B$1:$B$50,SMALL(IF(ISNUMBER('Za fakturisanje'!$Q$1:$Q$50),ROW('Za fakturisanje'!$Q$1:$Q$50)),ROW(E12))),"")</f>
        <v/>
      </c>
      <c r="C26" s="49"/>
      <c r="D26" s="88" t="str">
        <f t="array" ref="D26">IFERROR(INDEX('Za fakturisanje'!$C$1:$C$50,SMALL(IF(ISNUMBER('Za fakturisanje'!$Q$1:$Q$50),ROW('Za fakturisanje'!$Q$1:$Q$50)),ROW(E12))),"")</f>
        <v/>
      </c>
      <c r="E26" s="31" t="str">
        <f t="array" ref="E26">IFERROR(INDEX('Za fakturisanje'!$Q$1:$Q$50,SMALL(IF(ISNUMBER('Za fakturisanje'!$Q$1:$Q$50),ROW('Za fakturisanje'!$Q$1:$Q$50)),ROW(E12))),"")</f>
        <v/>
      </c>
      <c r="F26" s="41" t="str">
        <f t="array" ref="F26">IFERROR(INDEX('Za fakturisanje'!$E$1:$E$50,SMALL(IF(ISNUMBER('Za fakturisanje'!$Q$1:$Q$50),ROW('Za fakturisanje'!$Q$1:$Q$50)),ROW(E12))),"")</f>
        <v/>
      </c>
      <c r="G26" s="33" t="str">
        <f t="shared" si="0"/>
        <v/>
      </c>
      <c r="H26" s="31" t="str">
        <f>IF(B26="","",VLOOKUP($C$12,kupci!$A:$J,6,FALSE))</f>
        <v/>
      </c>
      <c r="I26" s="41" t="str">
        <f t="shared" si="1"/>
        <v/>
      </c>
      <c r="J26" s="33" t="str">
        <f t="shared" si="2"/>
        <v/>
      </c>
      <c r="K26" s="33" t="str">
        <f t="shared" si="3"/>
        <v/>
      </c>
    </row>
    <row r="27" spans="1:12">
      <c r="A27" s="31" t="str">
        <f>IF(B27="","","13")</f>
        <v/>
      </c>
      <c r="B27" s="79" t="str">
        <f t="array" ref="B27">IFERROR(INDEX('Za fakturisanje'!$B$1:$B$50,SMALL(IF(ISNUMBER('Za fakturisanje'!$Q$1:$Q$50),ROW('Za fakturisanje'!$Q$1:$Q$50)),ROW(E13))),"")</f>
        <v/>
      </c>
      <c r="C27" s="50"/>
      <c r="D27" s="88" t="str">
        <f t="array" ref="D27">IFERROR(INDEX('Za fakturisanje'!$C$1:$C$50,SMALL(IF(ISNUMBER('Za fakturisanje'!$Q$1:$Q$50),ROW('Za fakturisanje'!$Q$1:$Q$50)),ROW(E13))),"")</f>
        <v/>
      </c>
      <c r="E27" s="31" t="str">
        <f t="array" ref="E27">IFERROR(INDEX('Za fakturisanje'!$Q$1:$Q$50,SMALL(IF(ISNUMBER('Za fakturisanje'!$Q$1:$Q$50),ROW('Za fakturisanje'!$Q$1:$Q$50)),ROW(E13))),"")</f>
        <v/>
      </c>
      <c r="F27" s="41" t="str">
        <f t="array" ref="F27">IFERROR(INDEX('Za fakturisanje'!$E$1:$E$50,SMALL(IF(ISNUMBER('Za fakturisanje'!$Q$1:$Q$50),ROW('Za fakturisanje'!$Q$1:$Q$50)),ROW(E13))),"")</f>
        <v/>
      </c>
      <c r="G27" s="33" t="str">
        <f t="shared" si="0"/>
        <v/>
      </c>
      <c r="H27" s="31" t="str">
        <f>IF(B27="","",VLOOKUP($C$12,kupci!$A:$J,6,FALSE))</f>
        <v/>
      </c>
      <c r="I27" s="41" t="str">
        <f t="shared" si="1"/>
        <v/>
      </c>
      <c r="J27" s="33" t="str">
        <f t="shared" si="2"/>
        <v/>
      </c>
      <c r="K27" s="33" t="str">
        <f t="shared" si="3"/>
        <v/>
      </c>
    </row>
    <row r="28" spans="1:12">
      <c r="A28" s="31"/>
      <c r="B28" s="196"/>
      <c r="C28" s="197"/>
      <c r="D28" s="32"/>
      <c r="E28" s="36">
        <f>SUM(E15:E27)</f>
        <v>10</v>
      </c>
      <c r="F28" s="34"/>
      <c r="G28" s="33">
        <f>SUM(G15:G27)</f>
        <v>35.880000000000003</v>
      </c>
      <c r="H28" s="36"/>
      <c r="I28" s="34">
        <f>SUM(I15:I27)</f>
        <v>0</v>
      </c>
      <c r="J28" s="34">
        <f>+G28-I28</f>
        <v>35.880000000000003</v>
      </c>
      <c r="K28" s="34">
        <f>+J28*1.17</f>
        <v>41.979599999999998</v>
      </c>
    </row>
    <row r="29" spans="1:12">
      <c r="A29" s="37"/>
      <c r="B29" s="38"/>
      <c r="C29" s="38"/>
      <c r="D29" s="38"/>
      <c r="E29" s="38"/>
      <c r="F29" s="38"/>
      <c r="G29" s="38"/>
      <c r="H29" s="38"/>
      <c r="I29" s="38"/>
      <c r="J29" s="39"/>
      <c r="K29" s="39"/>
    </row>
    <row r="30" spans="1:12">
      <c r="A30" s="37"/>
      <c r="B30" s="38"/>
      <c r="C30" s="38"/>
      <c r="D30" s="38"/>
      <c r="E30" s="38"/>
      <c r="F30" s="38"/>
      <c r="G30" s="78" t="s">
        <v>302</v>
      </c>
      <c r="H30" s="32"/>
      <c r="I30" s="40"/>
      <c r="J30" s="70"/>
      <c r="K30" s="72">
        <f>TRUNC(ROUND(+G28*1,2),2)</f>
        <v>35.880000000000003</v>
      </c>
      <c r="L30" s="74" t="s">
        <v>303</v>
      </c>
    </row>
    <row r="31" spans="1:12">
      <c r="A31" s="37"/>
      <c r="B31" s="38"/>
      <c r="C31" s="38"/>
      <c r="D31" s="38"/>
      <c r="E31" s="38"/>
      <c r="F31" s="38"/>
      <c r="G31" s="79" t="s">
        <v>304</v>
      </c>
      <c r="H31" s="67"/>
      <c r="I31" s="68"/>
      <c r="J31" s="69"/>
      <c r="K31" s="69">
        <f>TRUNC(ROUND(+I28*1,2),2)</f>
        <v>0</v>
      </c>
      <c r="L31" s="75" t="s">
        <v>303</v>
      </c>
    </row>
    <row r="32" spans="1:12">
      <c r="A32" s="37"/>
      <c r="B32" s="38"/>
      <c r="C32" s="38"/>
      <c r="D32" s="38"/>
      <c r="E32" s="38"/>
      <c r="F32" s="38"/>
      <c r="G32" s="78" t="s">
        <v>305</v>
      </c>
      <c r="H32" s="32"/>
      <c r="I32" s="71"/>
      <c r="J32" s="72"/>
      <c r="K32" s="72">
        <f>TRUNC(ROUND(+J28*1,2),2)</f>
        <v>35.880000000000003</v>
      </c>
      <c r="L32" s="74" t="s">
        <v>303</v>
      </c>
    </row>
    <row r="33" spans="1:12">
      <c r="A33" s="37"/>
      <c r="B33" s="38"/>
      <c r="C33" s="38"/>
      <c r="D33" s="38"/>
      <c r="E33" s="38"/>
      <c r="F33" s="38"/>
      <c r="G33" s="79" t="s">
        <v>306</v>
      </c>
      <c r="H33" s="67"/>
      <c r="I33" s="68"/>
      <c r="J33" s="69"/>
      <c r="K33" s="69">
        <f>TRUNC(ROUND(K28-J28,2),2)</f>
        <v>6.1</v>
      </c>
      <c r="L33" s="75" t="s">
        <v>303</v>
      </c>
    </row>
    <row r="34" spans="1:12" ht="15.6">
      <c r="B34" s="38"/>
      <c r="C34" s="38"/>
      <c r="D34" s="38"/>
      <c r="E34" s="38"/>
      <c r="F34" s="38"/>
      <c r="G34" s="80" t="s">
        <v>307</v>
      </c>
      <c r="H34" s="42"/>
      <c r="I34" s="43"/>
      <c r="J34" s="73"/>
      <c r="K34" s="76">
        <f>TRUNC(ROUND(+K32+K33,2),2)</f>
        <v>41.98</v>
      </c>
      <c r="L34" s="77" t="s">
        <v>303</v>
      </c>
    </row>
    <row r="43" spans="1:12">
      <c r="B43" s="10" t="s">
        <v>308</v>
      </c>
      <c r="H43" s="10" t="s">
        <v>288</v>
      </c>
    </row>
  </sheetData>
  <sheetProtection sheet="1" objects="1" scenarios="1"/>
  <mergeCells count="10">
    <mergeCell ref="H12:I12"/>
    <mergeCell ref="J12:K12"/>
    <mergeCell ref="B14:C14"/>
    <mergeCell ref="B28:C28"/>
    <mergeCell ref="J1:K1"/>
    <mergeCell ref="J2:K2"/>
    <mergeCell ref="J3:K3"/>
    <mergeCell ref="J4:K4"/>
    <mergeCell ref="H11:I11"/>
    <mergeCell ref="J11:K11"/>
  </mergeCells>
  <pageMargins left="0.62992125984251968" right="0.23622047244094491" top="0.74803149606299213" bottom="0.74803149606299213" header="0.31496062992125984" footer="0.31496062992125984"/>
  <pageSetup paperSize="9" orientation="portrait" horizontalDpi="4294967293" verticalDpi="4294967293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882C-68B4-41BC-9077-AF210403D407}">
  <sheetPr codeName="Sheet18"/>
  <dimension ref="A1:L43"/>
  <sheetViews>
    <sheetView zoomScaleNormal="100" workbookViewId="0">
      <selection activeCell="J1" sqref="J1:K1"/>
    </sheetView>
  </sheetViews>
  <sheetFormatPr defaultRowHeight="14.45"/>
  <cols>
    <col min="1" max="1" width="3.28515625" style="9" customWidth="1"/>
    <col min="2" max="2" width="14.28515625" style="10" customWidth="1"/>
    <col min="3" max="3" width="15.5703125" style="10" customWidth="1"/>
    <col min="4" max="4" width="5.140625" style="10" bestFit="1" customWidth="1"/>
    <col min="5" max="5" width="5.140625" style="10" customWidth="1"/>
    <col min="6" max="6" width="5.5703125" style="10" customWidth="1"/>
    <col min="7" max="7" width="8" style="10" customWidth="1"/>
    <col min="8" max="8" width="3.7109375" style="10" customWidth="1"/>
    <col min="9" max="9" width="5.7109375" style="29" customWidth="1"/>
    <col min="10" max="10" width="7.42578125" style="10" customWidth="1"/>
    <col min="11" max="11" width="10.28515625" style="10" customWidth="1"/>
    <col min="12" max="12" width="3.42578125" style="10" customWidth="1"/>
  </cols>
  <sheetData>
    <row r="1" spans="1:12">
      <c r="G1" s="82" t="s">
        <v>278</v>
      </c>
      <c r="H1" s="82"/>
      <c r="I1" s="11"/>
      <c r="J1" s="204">
        <f>'Za KIF-a'!E14</f>
        <v>22198</v>
      </c>
      <c r="K1" s="204"/>
    </row>
    <row r="2" spans="1:12">
      <c r="G2" s="81" t="s">
        <v>279</v>
      </c>
      <c r="H2" s="81"/>
      <c r="I2" s="11"/>
      <c r="J2" s="194">
        <f>'Za KIF-a'!D14</f>
        <v>1211</v>
      </c>
      <c r="K2" s="194"/>
    </row>
    <row r="3" spans="1:12">
      <c r="G3" s="81" t="s">
        <v>212</v>
      </c>
      <c r="H3" s="81"/>
      <c r="I3" s="13"/>
      <c r="J3" s="195">
        <f ca="1">'Za KIF-a'!L1</f>
        <v>44635</v>
      </c>
      <c r="K3" s="195"/>
    </row>
    <row r="4" spans="1:12">
      <c r="G4" s="81" t="s">
        <v>214</v>
      </c>
      <c r="H4" s="81"/>
      <c r="I4" s="13"/>
      <c r="J4" s="195">
        <f ca="1">'Za KIF-a'!L2</f>
        <v>44636</v>
      </c>
      <c r="K4" s="195"/>
    </row>
    <row r="5" spans="1:12">
      <c r="G5" s="81" t="s">
        <v>280</v>
      </c>
      <c r="H5" s="81"/>
      <c r="I5" s="13"/>
      <c r="J5" s="14" t="str">
        <f>VLOOKUP($C$12,kupci!$A:$J,7,FALSE)</f>
        <v>7 dana</v>
      </c>
      <c r="K5" s="14"/>
    </row>
    <row r="6" spans="1:12">
      <c r="B6" s="15" t="s">
        <v>281</v>
      </c>
      <c r="C6" s="16"/>
      <c r="D6" s="15"/>
      <c r="E6" s="16"/>
      <c r="F6" s="16" t="s">
        <v>282</v>
      </c>
      <c r="G6" s="16"/>
      <c r="H6" s="16"/>
      <c r="I6" s="16"/>
      <c r="J6" s="17"/>
      <c r="K6" s="16"/>
    </row>
    <row r="7" spans="1:12">
      <c r="B7" s="15" t="s">
        <v>283</v>
      </c>
      <c r="C7" s="16"/>
      <c r="D7" s="15"/>
      <c r="E7" s="16"/>
      <c r="F7" s="16" t="s">
        <v>284</v>
      </c>
      <c r="G7" s="16"/>
      <c r="H7" s="16"/>
      <c r="I7" s="16"/>
      <c r="J7" s="17"/>
      <c r="K7" s="16"/>
    </row>
    <row r="8" spans="1:12">
      <c r="B8" s="15" t="s">
        <v>14</v>
      </c>
      <c r="C8" s="16"/>
      <c r="D8" s="15"/>
      <c r="E8" s="16"/>
      <c r="F8" s="15" t="s">
        <v>285</v>
      </c>
      <c r="G8" s="16"/>
      <c r="H8" s="16"/>
      <c r="I8" s="16"/>
      <c r="J8" s="17"/>
      <c r="K8" s="16"/>
    </row>
    <row r="9" spans="1:12">
      <c r="B9" s="18" t="s">
        <v>286</v>
      </c>
      <c r="C9" s="19"/>
      <c r="D9" s="18"/>
      <c r="E9" s="19"/>
      <c r="F9" s="20" t="s">
        <v>287</v>
      </c>
      <c r="G9" s="19"/>
      <c r="H9" s="19"/>
      <c r="I9" s="19"/>
      <c r="J9" s="21"/>
      <c r="K9" s="19"/>
    </row>
    <row r="10" spans="1:12">
      <c r="B10" s="22" t="s">
        <v>288</v>
      </c>
      <c r="C10" s="28" t="str">
        <f>VLOOKUP($C$12,kupci!$A:$J,2,FALSE)</f>
        <v>Knock-knock d.o.o.</v>
      </c>
      <c r="D10" s="24"/>
      <c r="E10" s="24"/>
      <c r="F10" s="23"/>
      <c r="G10" s="25"/>
      <c r="H10" s="25"/>
      <c r="I10" s="26"/>
      <c r="J10" s="25"/>
      <c r="K10" s="25"/>
    </row>
    <row r="11" spans="1:12">
      <c r="B11" s="27" t="s">
        <v>289</v>
      </c>
      <c r="C11" s="28" t="str">
        <f>VLOOKUP($C$12,kupci!$A:$J,3,FALSE)</f>
        <v>Sarajevo, 71000</v>
      </c>
      <c r="D11" s="28"/>
      <c r="E11" s="28"/>
      <c r="F11" s="28"/>
      <c r="H11" s="200" t="str">
        <f>IF(J11="*", "",  "PDV broj")</f>
        <v>PDV broj</v>
      </c>
      <c r="I11" s="200"/>
      <c r="J11" s="198">
        <f>VLOOKUP($C$12,kupci!$A:$J,4,FALSE)</f>
        <v>200019090004</v>
      </c>
      <c r="K11" s="198"/>
    </row>
    <row r="12" spans="1:12">
      <c r="B12" s="27" t="s">
        <v>290</v>
      </c>
      <c r="C12" s="23" t="str">
        <f>'Za fakturisanje'!R$2</f>
        <v>Knock, Maršala Tita 54</v>
      </c>
      <c r="D12" s="28"/>
      <c r="E12" s="28"/>
      <c r="F12" s="28"/>
      <c r="H12" s="201" t="str">
        <f>IF(J12="*", "",  "ID broj")</f>
        <v>ID broj</v>
      </c>
      <c r="I12" s="201"/>
      <c r="J12" s="199">
        <f>VLOOKUP($C$12,kupci!$A:$J,5,FALSE)</f>
        <v>4200019090004</v>
      </c>
      <c r="K12" s="199"/>
    </row>
    <row r="13" spans="1:12">
      <c r="C13" s="9"/>
      <c r="D13" s="9"/>
      <c r="K13" s="10" t="s">
        <v>291</v>
      </c>
    </row>
    <row r="14" spans="1:12" s="35" customFormat="1" ht="39.6" customHeight="1">
      <c r="A14" s="54" t="s">
        <v>292</v>
      </c>
      <c r="B14" s="202" t="s">
        <v>293</v>
      </c>
      <c r="C14" s="203"/>
      <c r="D14" s="30" t="s">
        <v>294</v>
      </c>
      <c r="E14" s="55" t="s">
        <v>295</v>
      </c>
      <c r="F14" s="30" t="s">
        <v>296</v>
      </c>
      <c r="G14" s="30" t="s">
        <v>297</v>
      </c>
      <c r="H14" s="61" t="s">
        <v>298</v>
      </c>
      <c r="I14" s="30" t="s">
        <v>299</v>
      </c>
      <c r="J14" s="30" t="s">
        <v>300</v>
      </c>
      <c r="K14" s="30" t="s">
        <v>301</v>
      </c>
      <c r="L14" s="56"/>
    </row>
    <row r="15" spans="1:12">
      <c r="A15" s="31" t="str">
        <f>IF(B15="","","1")</f>
        <v>1</v>
      </c>
      <c r="B15" s="79" t="str">
        <f t="array" ref="B15">IFERROR(INDEX('Za fakturisanje'!$B$1:$B$50,SMALL(IF(ISNUMBER('Za fakturisanje'!$R$1:$R$50),ROW('Za fakturisanje'!$R$1:$R$50)),ROW(E1))),"")</f>
        <v>Mikropovrće Rukola</v>
      </c>
      <c r="C15" s="46"/>
      <c r="D15" s="88" t="str">
        <f t="array" ref="D15">IFERROR(INDEX('Za fakturisanje'!$C$1:$C$50,SMALL(IF(ISNUMBER('Za fakturisanje'!$R$1:$R$50),ROW('Za fakturisanje'!$R$1:$R$50)),ROW(E1))),"")</f>
        <v>kom</v>
      </c>
      <c r="E15" s="31">
        <f t="array" ref="E15">IFERROR(INDEX('Za fakturisanje'!$R$1:$R$50,SMALL(IF(ISNUMBER('Za fakturisanje'!$R$1:$R$50),ROW('Za fakturisanje'!$R$1:$R$50)),ROW(E1))),"")</f>
        <v>20</v>
      </c>
      <c r="F15" s="41">
        <f t="array" ref="F15">IFERROR(INDEX('Za fakturisanje'!$E$1:$E$50,SMALL(IF(ISNUMBER('Za fakturisanje'!$R$1:$R$50),ROW('Za fakturisanje'!$R$1:$R$50)),ROW(E1))),"")</f>
        <v>3.68</v>
      </c>
      <c r="G15" s="33">
        <f>IF(E15="", "",+E15*F15)</f>
        <v>73.600000000000009</v>
      </c>
      <c r="H15" s="31">
        <f>IF(B15="","",VLOOKUP($C$12,kupci!$A:$J,6,FALSE))</f>
        <v>0</v>
      </c>
      <c r="I15" s="41">
        <f>IF(B15="","",G15*H15/100)</f>
        <v>0</v>
      </c>
      <c r="J15" s="33">
        <f>IF(B15="", "",+G15-I15)</f>
        <v>73.600000000000009</v>
      </c>
      <c r="K15" s="33">
        <f>IF(B15="", "",+J15*1.17)</f>
        <v>86.112000000000009</v>
      </c>
    </row>
    <row r="16" spans="1:12">
      <c r="A16" s="31" t="str">
        <f>IF(B16="","","2")</f>
        <v/>
      </c>
      <c r="B16" s="79" t="str">
        <f t="array" ref="B16">IFERROR(INDEX('Za fakturisanje'!$B$1:$B$50,SMALL(IF(ISNUMBER('Za fakturisanje'!$R$1:$R$50),ROW('Za fakturisanje'!$R$1:$R$50)),ROW(E2))),"")</f>
        <v/>
      </c>
      <c r="C16" s="46"/>
      <c r="D16" s="88" t="str">
        <f t="array" ref="D16">IFERROR(INDEX('Za fakturisanje'!$C$1:$C$50,SMALL(IF(ISNUMBER('Za fakturisanje'!$R$1:$R$50),ROW('Za fakturisanje'!$R$1:$R$50)),ROW(E2))),"")</f>
        <v/>
      </c>
      <c r="E16" s="31" t="str">
        <f t="array" ref="E16">IFERROR(INDEX('Za fakturisanje'!$R$1:$R$50,SMALL(IF(ISNUMBER('Za fakturisanje'!$R$1:$R$50),ROW('Za fakturisanje'!$R$1:$R$50)),ROW(E2))),"")</f>
        <v/>
      </c>
      <c r="F16" s="41" t="str">
        <f t="array" ref="F16">IFERROR(INDEX('Za fakturisanje'!$E$1:$E$50,SMALL(IF(ISNUMBER('Za fakturisanje'!$R$1:$R$50),ROW('Za fakturisanje'!$R$1:$R$50)),ROW(E2))),"")</f>
        <v/>
      </c>
      <c r="G16" s="33" t="str">
        <f t="shared" ref="G16:G27" si="0">IF(E16="", "",+E16*F16)</f>
        <v/>
      </c>
      <c r="H16" s="31" t="str">
        <f>IF(B16="","",VLOOKUP($C$12,kupci!$A:$J,6,FALSE))</f>
        <v/>
      </c>
      <c r="I16" s="41" t="str">
        <f t="shared" ref="I16:I27" si="1">IF(B16="","",G16*H16/100)</f>
        <v/>
      </c>
      <c r="J16" s="33" t="str">
        <f t="shared" ref="J16:J27" si="2">IF(B16="", "",+G16-I16)</f>
        <v/>
      </c>
      <c r="K16" s="33" t="str">
        <f t="shared" ref="K16:K27" si="3">IF(B16="", "",+J16*1.17)</f>
        <v/>
      </c>
    </row>
    <row r="17" spans="1:12">
      <c r="A17" s="31" t="str">
        <f>IF(B17="","","3")</f>
        <v/>
      </c>
      <c r="B17" s="79" t="str">
        <f t="array" ref="B17">IFERROR(INDEX('Za fakturisanje'!$B$1:$B$50,SMALL(IF(ISNUMBER('Za fakturisanje'!$R$1:$R$50),ROW('Za fakturisanje'!$R$1:$R$50)),ROW(E3))),"")</f>
        <v/>
      </c>
      <c r="C17" s="46"/>
      <c r="D17" s="88" t="str">
        <f t="array" ref="D17">IFERROR(INDEX('Za fakturisanje'!$C$1:$C$50,SMALL(IF(ISNUMBER('Za fakturisanje'!$R$1:$R$50),ROW('Za fakturisanje'!$R$1:$R$50)),ROW(E3))),"")</f>
        <v/>
      </c>
      <c r="E17" s="31" t="str">
        <f t="array" ref="E17">IFERROR(INDEX('Za fakturisanje'!$R$1:$R$50,SMALL(IF(ISNUMBER('Za fakturisanje'!$R$1:$R$50),ROW('Za fakturisanje'!$R$1:$R$50)),ROW(E3))),"")</f>
        <v/>
      </c>
      <c r="F17" s="41" t="str">
        <f t="array" ref="F17">IFERROR(INDEX('Za fakturisanje'!$E$1:$E$50,SMALL(IF(ISNUMBER('Za fakturisanje'!$R$1:$R$50),ROW('Za fakturisanje'!$R$1:$R$50)),ROW(E3))),"")</f>
        <v/>
      </c>
      <c r="G17" s="33" t="str">
        <f t="shared" si="0"/>
        <v/>
      </c>
      <c r="H17" s="31" t="str">
        <f>IF(B17="","",VLOOKUP($C$12,kupci!$A:$J,6,FALSE))</f>
        <v/>
      </c>
      <c r="I17" s="41" t="str">
        <f t="shared" si="1"/>
        <v/>
      </c>
      <c r="J17" s="33" t="str">
        <f t="shared" si="2"/>
        <v/>
      </c>
      <c r="K17" s="33" t="str">
        <f t="shared" si="3"/>
        <v/>
      </c>
    </row>
    <row r="18" spans="1:12">
      <c r="A18" s="31" t="str">
        <f>IF(B18="","","4")</f>
        <v/>
      </c>
      <c r="B18" s="79" t="str">
        <f t="array" ref="B18">IFERROR(INDEX('Za fakturisanje'!$B$1:$B$50,SMALL(IF(ISNUMBER('Za fakturisanje'!$R$1:$R$50),ROW('Za fakturisanje'!$R$1:$R$50)),ROW(E4))),"")</f>
        <v/>
      </c>
      <c r="C18" s="46"/>
      <c r="D18" s="88" t="str">
        <f t="array" ref="D18">IFERROR(INDEX('Za fakturisanje'!$C$1:$C$50,SMALL(IF(ISNUMBER('Za fakturisanje'!$R$1:$R$50),ROW('Za fakturisanje'!$R$1:$R$50)),ROW(E4))),"")</f>
        <v/>
      </c>
      <c r="E18" s="31" t="str">
        <f t="array" ref="E18">IFERROR(INDEX('Za fakturisanje'!$R$1:$R$50,SMALL(IF(ISNUMBER('Za fakturisanje'!$R$1:$R$50),ROW('Za fakturisanje'!$R$1:$R$50)),ROW(E4))),"")</f>
        <v/>
      </c>
      <c r="F18" s="41" t="str">
        <f t="array" ref="F18">IFERROR(INDEX('Za fakturisanje'!$E$1:$E$50,SMALL(IF(ISNUMBER('Za fakturisanje'!$R$1:$R$50),ROW('Za fakturisanje'!$R$1:$R$50)),ROW(E4))),"")</f>
        <v/>
      </c>
      <c r="G18" s="33" t="str">
        <f t="shared" si="0"/>
        <v/>
      </c>
      <c r="H18" s="31" t="str">
        <f>IF(B18="","",VLOOKUP($C$12,kupci!$A:$J,6,FALSE))</f>
        <v/>
      </c>
      <c r="I18" s="41" t="str">
        <f t="shared" si="1"/>
        <v/>
      </c>
      <c r="J18" s="33" t="str">
        <f t="shared" si="2"/>
        <v/>
      </c>
      <c r="K18" s="33" t="str">
        <f t="shared" si="3"/>
        <v/>
      </c>
    </row>
    <row r="19" spans="1:12">
      <c r="A19" s="31" t="str">
        <f>IF(B19="","","5")</f>
        <v/>
      </c>
      <c r="B19" s="79" t="str">
        <f t="array" ref="B19">IFERROR(INDEX('Za fakturisanje'!$B$1:$B$50,SMALL(IF(ISNUMBER('Za fakturisanje'!$R$1:$R$50),ROW('Za fakturisanje'!$R$1:$R$50)),ROW(E5))),"")</f>
        <v/>
      </c>
      <c r="C19" s="53"/>
      <c r="D19" s="88" t="str">
        <f t="array" ref="D19">IFERROR(INDEX('Za fakturisanje'!$C$1:$C$50,SMALL(IF(ISNUMBER('Za fakturisanje'!$R$1:$R$50),ROW('Za fakturisanje'!$R$1:$R$50)),ROW(E5))),"")</f>
        <v/>
      </c>
      <c r="E19" s="31" t="str">
        <f t="array" ref="E19">IFERROR(INDEX('Za fakturisanje'!$R$1:$R$50,SMALL(IF(ISNUMBER('Za fakturisanje'!$R$1:$R$50),ROW('Za fakturisanje'!$R$1:$R$50)),ROW(E5))),"")</f>
        <v/>
      </c>
      <c r="F19" s="41" t="str">
        <f t="array" ref="F19">IFERROR(INDEX('Za fakturisanje'!$E$1:$E$50,SMALL(IF(ISNUMBER('Za fakturisanje'!$R$1:$R$50),ROW('Za fakturisanje'!$R$1:$R$50)),ROW(E5))),"")</f>
        <v/>
      </c>
      <c r="G19" s="33" t="str">
        <f t="shared" si="0"/>
        <v/>
      </c>
      <c r="H19" s="31" t="str">
        <f>IF(B19="","",VLOOKUP($C$12,kupci!$A:$J,6,FALSE))</f>
        <v/>
      </c>
      <c r="I19" s="41" t="str">
        <f t="shared" si="1"/>
        <v/>
      </c>
      <c r="J19" s="33" t="str">
        <f t="shared" si="2"/>
        <v/>
      </c>
      <c r="K19" s="33" t="str">
        <f t="shared" si="3"/>
        <v/>
      </c>
    </row>
    <row r="20" spans="1:12">
      <c r="A20" s="31" t="str">
        <f>IF(B20="","","6")</f>
        <v/>
      </c>
      <c r="B20" s="79" t="str">
        <f t="array" ref="B20">IFERROR(INDEX('Za fakturisanje'!$B$1:$B$50,SMALL(IF(ISNUMBER('Za fakturisanje'!$R$1:$R$50),ROW('Za fakturisanje'!$R$1:$R$50)),ROW(E6))),"")</f>
        <v/>
      </c>
      <c r="C20" s="48"/>
      <c r="D20" s="88" t="str">
        <f t="array" ref="D20">IFERROR(INDEX('Za fakturisanje'!$C$1:$C$50,SMALL(IF(ISNUMBER('Za fakturisanje'!$R$1:$R$50),ROW('Za fakturisanje'!$R$1:$R$50)),ROW(E6))),"")</f>
        <v/>
      </c>
      <c r="E20" s="31" t="str">
        <f t="array" ref="E20">IFERROR(INDEX('Za fakturisanje'!$R$1:$R$50,SMALL(IF(ISNUMBER('Za fakturisanje'!$R$1:$R$50),ROW('Za fakturisanje'!$R$1:$R$50)),ROW(E6))),"")</f>
        <v/>
      </c>
      <c r="F20" s="41" t="str">
        <f t="array" ref="F20">IFERROR(INDEX('Za fakturisanje'!$E$1:$E$50,SMALL(IF(ISNUMBER('Za fakturisanje'!$R$1:$R$50),ROW('Za fakturisanje'!$R$1:$R$50)),ROW(E6))),"")</f>
        <v/>
      </c>
      <c r="G20" s="33" t="str">
        <f t="shared" si="0"/>
        <v/>
      </c>
      <c r="H20" s="31" t="str">
        <f>IF(B20="","",VLOOKUP($C$12,kupci!$A:$J,6,FALSE))</f>
        <v/>
      </c>
      <c r="I20" s="41" t="str">
        <f t="shared" si="1"/>
        <v/>
      </c>
      <c r="J20" s="33" t="str">
        <f t="shared" si="2"/>
        <v/>
      </c>
      <c r="K20" s="33" t="str">
        <f t="shared" si="3"/>
        <v/>
      </c>
    </row>
    <row r="21" spans="1:12">
      <c r="A21" s="31" t="str">
        <f>IF(B21="","","7")</f>
        <v/>
      </c>
      <c r="B21" s="79" t="str">
        <f t="array" ref="B21">IFERROR(INDEX('Za fakturisanje'!$B$1:$B$50,SMALL(IF(ISNUMBER('Za fakturisanje'!$R$1:$R$50),ROW('Za fakturisanje'!$R$1:$R$50)),ROW(E7))),"")</f>
        <v/>
      </c>
      <c r="C21" s="49"/>
      <c r="D21" s="88" t="str">
        <f t="array" ref="D21">IFERROR(INDEX('Za fakturisanje'!$C$1:$C$50,SMALL(IF(ISNUMBER('Za fakturisanje'!$R$1:$R$50),ROW('Za fakturisanje'!$R$1:$R$50)),ROW(E7))),"")</f>
        <v/>
      </c>
      <c r="E21" s="31" t="str">
        <f t="array" ref="E21">IFERROR(INDEX('Za fakturisanje'!$R$1:$R$50,SMALL(IF(ISNUMBER('Za fakturisanje'!$R$1:$R$50),ROW('Za fakturisanje'!$R$1:$R$50)),ROW(E7))),"")</f>
        <v/>
      </c>
      <c r="F21" s="41" t="str">
        <f t="array" ref="F21">IFERROR(INDEX('Za fakturisanje'!$E$1:$E$50,SMALL(IF(ISNUMBER('Za fakturisanje'!$R$1:$R$50),ROW('Za fakturisanje'!$R$1:$R$50)),ROW(E7))),"")</f>
        <v/>
      </c>
      <c r="G21" s="33" t="str">
        <f t="shared" si="0"/>
        <v/>
      </c>
      <c r="H21" s="31" t="str">
        <f>IF(B21="","",VLOOKUP($C$12,kupci!$A:$J,6,FALSE))</f>
        <v/>
      </c>
      <c r="I21" s="41" t="str">
        <f t="shared" si="1"/>
        <v/>
      </c>
      <c r="J21" s="33" t="str">
        <f t="shared" si="2"/>
        <v/>
      </c>
      <c r="K21" s="33" t="str">
        <f t="shared" si="3"/>
        <v/>
      </c>
    </row>
    <row r="22" spans="1:12">
      <c r="A22" s="31" t="str">
        <f>IF(B22="","","8")</f>
        <v/>
      </c>
      <c r="B22" s="79" t="str">
        <f t="array" ref="B22">IFERROR(INDEX('Za fakturisanje'!$B$1:$B$50,SMALL(IF(ISNUMBER('Za fakturisanje'!$R$1:$R$50),ROW('Za fakturisanje'!$R$1:$R$50)),ROW(E8))),"")</f>
        <v/>
      </c>
      <c r="C22" s="49"/>
      <c r="D22" s="88" t="str">
        <f t="array" ref="D22">IFERROR(INDEX('Za fakturisanje'!$C$1:$C$50,SMALL(IF(ISNUMBER('Za fakturisanje'!$R$1:$R$50),ROW('Za fakturisanje'!$R$1:$R$50)),ROW(E8))),"")</f>
        <v/>
      </c>
      <c r="E22" s="31" t="str">
        <f t="array" ref="E22">IFERROR(INDEX('Za fakturisanje'!$R$1:$R$50,SMALL(IF(ISNUMBER('Za fakturisanje'!$R$1:$R$50),ROW('Za fakturisanje'!$R$1:$R$50)),ROW(E8))),"")</f>
        <v/>
      </c>
      <c r="F22" s="41" t="str">
        <f t="array" ref="F22">IFERROR(INDEX('Za fakturisanje'!$E$1:$E$50,SMALL(IF(ISNUMBER('Za fakturisanje'!$R$1:$R$50),ROW('Za fakturisanje'!$R$1:$R$50)),ROW(E8))),"")</f>
        <v/>
      </c>
      <c r="G22" s="33" t="str">
        <f t="shared" si="0"/>
        <v/>
      </c>
      <c r="H22" s="31" t="str">
        <f>IF(B22="","",VLOOKUP($C$12,kupci!$A:$J,6,FALSE))</f>
        <v/>
      </c>
      <c r="I22" s="41" t="str">
        <f t="shared" si="1"/>
        <v/>
      </c>
      <c r="J22" s="33" t="str">
        <f t="shared" si="2"/>
        <v/>
      </c>
      <c r="K22" s="33" t="str">
        <f t="shared" si="3"/>
        <v/>
      </c>
    </row>
    <row r="23" spans="1:12">
      <c r="A23" s="31" t="str">
        <f>IF(B23="","","9")</f>
        <v/>
      </c>
      <c r="B23" s="79" t="str">
        <f t="array" ref="B23">IFERROR(INDEX('Za fakturisanje'!$B$1:$B$50,SMALL(IF(ISNUMBER('Za fakturisanje'!$R$1:$R$50),ROW('Za fakturisanje'!$R$1:$R$50)),ROW(E9))),"")</f>
        <v/>
      </c>
      <c r="C23" s="51"/>
      <c r="D23" s="88" t="str">
        <f t="array" ref="D23">IFERROR(INDEX('Za fakturisanje'!$C$1:$C$50,SMALL(IF(ISNUMBER('Za fakturisanje'!$R$1:$R$50),ROW('Za fakturisanje'!$R$1:$R$50)),ROW(E9))),"")</f>
        <v/>
      </c>
      <c r="E23" s="31" t="str">
        <f t="array" ref="E23">IFERROR(INDEX('Za fakturisanje'!$R$1:$R$50,SMALL(IF(ISNUMBER('Za fakturisanje'!$R$1:$R$50),ROW('Za fakturisanje'!$R$1:$R$50)),ROW(E9))),"")</f>
        <v/>
      </c>
      <c r="F23" s="41" t="str">
        <f t="array" ref="F23">IFERROR(INDEX('Za fakturisanje'!$E$1:$E$50,SMALL(IF(ISNUMBER('Za fakturisanje'!$R$1:$R$50),ROW('Za fakturisanje'!$R$1:$R$50)),ROW(E9))),"")</f>
        <v/>
      </c>
      <c r="G23" s="33" t="str">
        <f t="shared" si="0"/>
        <v/>
      </c>
      <c r="H23" s="31" t="str">
        <f>IF(B23="","",VLOOKUP($C$12,kupci!$A:$J,6,FALSE))</f>
        <v/>
      </c>
      <c r="I23" s="41" t="str">
        <f t="shared" si="1"/>
        <v/>
      </c>
      <c r="J23" s="33" t="str">
        <f t="shared" si="2"/>
        <v/>
      </c>
      <c r="K23" s="33" t="str">
        <f t="shared" si="3"/>
        <v/>
      </c>
    </row>
    <row r="24" spans="1:12">
      <c r="A24" s="31" t="str">
        <f>IF(B24="","","10")</f>
        <v/>
      </c>
      <c r="B24" s="79" t="str">
        <f t="array" ref="B24">IFERROR(INDEX('Za fakturisanje'!$B$1:$B$50,SMALL(IF(ISNUMBER('Za fakturisanje'!$R$1:$R$50),ROW('Za fakturisanje'!$R$1:$R$50)),ROW(E10))),"")</f>
        <v/>
      </c>
      <c r="C24" s="52"/>
      <c r="D24" s="88" t="str">
        <f t="array" ref="D24">IFERROR(INDEX('Za fakturisanje'!$C$1:$C$50,SMALL(IF(ISNUMBER('Za fakturisanje'!$R$1:$R$50),ROW('Za fakturisanje'!$R$1:$R$50)),ROW(E10))),"")</f>
        <v/>
      </c>
      <c r="E24" s="31" t="str">
        <f t="array" ref="E24">IFERROR(INDEX('Za fakturisanje'!$R$1:$R$50,SMALL(IF(ISNUMBER('Za fakturisanje'!$R$1:$R$50),ROW('Za fakturisanje'!$R$1:$R$50)),ROW(E10))),"")</f>
        <v/>
      </c>
      <c r="F24" s="41" t="str">
        <f t="array" ref="F24">IFERROR(INDEX('Za fakturisanje'!$E$1:$E$50,SMALL(IF(ISNUMBER('Za fakturisanje'!$R$1:$R$50),ROW('Za fakturisanje'!$R$1:$R$50)),ROW(E10))),"")</f>
        <v/>
      </c>
      <c r="G24" s="33" t="str">
        <f t="shared" si="0"/>
        <v/>
      </c>
      <c r="H24" s="31" t="str">
        <f>IF(B24="","",VLOOKUP($C$12,kupci!$A:$J,6,FALSE))</f>
        <v/>
      </c>
      <c r="I24" s="41" t="str">
        <f t="shared" si="1"/>
        <v/>
      </c>
      <c r="J24" s="33" t="str">
        <f t="shared" si="2"/>
        <v/>
      </c>
      <c r="K24" s="33" t="str">
        <f t="shared" si="3"/>
        <v/>
      </c>
    </row>
    <row r="25" spans="1:12">
      <c r="A25" s="31" t="str">
        <f>IF(B25="","","11")</f>
        <v/>
      </c>
      <c r="B25" s="79" t="str">
        <f t="array" ref="B25">IFERROR(INDEX('Za fakturisanje'!$B$1:$B$50,SMALL(IF(ISNUMBER('Za fakturisanje'!$R$1:$R$50),ROW('Za fakturisanje'!$R$1:$R$50)),ROW(E11))),"")</f>
        <v/>
      </c>
      <c r="C25" s="48"/>
      <c r="D25" s="88" t="str">
        <f t="array" ref="D25">IFERROR(INDEX('Za fakturisanje'!$C$1:$C$50,SMALL(IF(ISNUMBER('Za fakturisanje'!$R$1:$R$50),ROW('Za fakturisanje'!$R$1:$R$50)),ROW(E11))),"")</f>
        <v/>
      </c>
      <c r="E25" s="31" t="str">
        <f t="array" ref="E25">IFERROR(INDEX('Za fakturisanje'!$R$1:$R$50,SMALL(IF(ISNUMBER('Za fakturisanje'!$R$1:$R$50),ROW('Za fakturisanje'!$R$1:$R$50)),ROW(E11))),"")</f>
        <v/>
      </c>
      <c r="F25" s="41" t="str">
        <f t="array" ref="F25">IFERROR(INDEX('Za fakturisanje'!$E$1:$E$50,SMALL(IF(ISNUMBER('Za fakturisanje'!$R$1:$R$50),ROW('Za fakturisanje'!$R$1:$R$50)),ROW(E11))),"")</f>
        <v/>
      </c>
      <c r="G25" s="33" t="str">
        <f t="shared" si="0"/>
        <v/>
      </c>
      <c r="H25" s="31" t="str">
        <f>IF(B25="","",VLOOKUP($C$12,kupci!$A:$J,6,FALSE))</f>
        <v/>
      </c>
      <c r="I25" s="41" t="str">
        <f t="shared" si="1"/>
        <v/>
      </c>
      <c r="J25" s="33" t="str">
        <f t="shared" si="2"/>
        <v/>
      </c>
      <c r="K25" s="33" t="str">
        <f t="shared" si="3"/>
        <v/>
      </c>
    </row>
    <row r="26" spans="1:12">
      <c r="A26" s="31" t="str">
        <f>IF(B26="","","12")</f>
        <v/>
      </c>
      <c r="B26" s="79" t="str">
        <f t="array" ref="B26">IFERROR(INDEX('Za fakturisanje'!$B$1:$B$50,SMALL(IF(ISNUMBER('Za fakturisanje'!$R$1:$R$50),ROW('Za fakturisanje'!$R$1:$R$50)),ROW(E12))),"")</f>
        <v/>
      </c>
      <c r="C26" s="49"/>
      <c r="D26" s="88" t="str">
        <f t="array" ref="D26">IFERROR(INDEX('Za fakturisanje'!$C$1:$C$50,SMALL(IF(ISNUMBER('Za fakturisanje'!$R$1:$R$50),ROW('Za fakturisanje'!$R$1:$R$50)),ROW(E12))),"")</f>
        <v/>
      </c>
      <c r="E26" s="31" t="str">
        <f t="array" ref="E26">IFERROR(INDEX('Za fakturisanje'!$R$1:$R$50,SMALL(IF(ISNUMBER('Za fakturisanje'!$R$1:$R$50),ROW('Za fakturisanje'!$R$1:$R$50)),ROW(E12))),"")</f>
        <v/>
      </c>
      <c r="F26" s="41" t="str">
        <f t="array" ref="F26">IFERROR(INDEX('Za fakturisanje'!$E$1:$E$50,SMALL(IF(ISNUMBER('Za fakturisanje'!$R$1:$R$50),ROW('Za fakturisanje'!$R$1:$R$50)),ROW(E12))),"")</f>
        <v/>
      </c>
      <c r="G26" s="33" t="str">
        <f t="shared" si="0"/>
        <v/>
      </c>
      <c r="H26" s="31" t="str">
        <f>IF(B26="","",VLOOKUP($C$12,kupci!$A:$J,6,FALSE))</f>
        <v/>
      </c>
      <c r="I26" s="41" t="str">
        <f t="shared" si="1"/>
        <v/>
      </c>
      <c r="J26" s="33" t="str">
        <f t="shared" si="2"/>
        <v/>
      </c>
      <c r="K26" s="33" t="str">
        <f t="shared" si="3"/>
        <v/>
      </c>
    </row>
    <row r="27" spans="1:12">
      <c r="A27" s="31" t="str">
        <f>IF(B27="","","13")</f>
        <v/>
      </c>
      <c r="B27" s="79" t="str">
        <f t="array" ref="B27">IFERROR(INDEX('Za fakturisanje'!$B$1:$B$50,SMALL(IF(ISNUMBER('Za fakturisanje'!$R$1:$R$50),ROW('Za fakturisanje'!$R$1:$R$50)),ROW(E13))),"")</f>
        <v/>
      </c>
      <c r="C27" s="50"/>
      <c r="D27" s="88" t="str">
        <f t="array" ref="D27">IFERROR(INDEX('Za fakturisanje'!$C$1:$C$50,SMALL(IF(ISNUMBER('Za fakturisanje'!$R$1:$R$50),ROW('Za fakturisanje'!$R$1:$R$50)),ROW(E13))),"")</f>
        <v/>
      </c>
      <c r="E27" s="31" t="str">
        <f t="array" ref="E27">IFERROR(INDEX('Za fakturisanje'!$R$1:$R$50,SMALL(IF(ISNUMBER('Za fakturisanje'!$R$1:$R$50),ROW('Za fakturisanje'!$R$1:$R$50)),ROW(E13))),"")</f>
        <v/>
      </c>
      <c r="F27" s="41" t="str">
        <f t="array" ref="F27">IFERROR(INDEX('Za fakturisanje'!$E$1:$E$50,SMALL(IF(ISNUMBER('Za fakturisanje'!$R$1:$R$50),ROW('Za fakturisanje'!$R$1:$R$50)),ROW(E13))),"")</f>
        <v/>
      </c>
      <c r="G27" s="33" t="str">
        <f t="shared" si="0"/>
        <v/>
      </c>
      <c r="H27" s="31" t="str">
        <f>IF(B27="","",VLOOKUP($C$12,kupci!$A:$J,6,FALSE))</f>
        <v/>
      </c>
      <c r="I27" s="41" t="str">
        <f t="shared" si="1"/>
        <v/>
      </c>
      <c r="J27" s="33" t="str">
        <f t="shared" si="2"/>
        <v/>
      </c>
      <c r="K27" s="33" t="str">
        <f t="shared" si="3"/>
        <v/>
      </c>
    </row>
    <row r="28" spans="1:12">
      <c r="A28" s="31"/>
      <c r="B28" s="196"/>
      <c r="C28" s="197"/>
      <c r="D28" s="32"/>
      <c r="E28" s="36">
        <f>SUM(E15:E27)</f>
        <v>20</v>
      </c>
      <c r="F28" s="34"/>
      <c r="G28" s="33">
        <f>SUM(G15:G27)</f>
        <v>73.600000000000009</v>
      </c>
      <c r="H28" s="36"/>
      <c r="I28" s="34">
        <f>SUM(I15:I27)</f>
        <v>0</v>
      </c>
      <c r="J28" s="34">
        <f>+G28-I28</f>
        <v>73.600000000000009</v>
      </c>
      <c r="K28" s="34">
        <f>+J28*1.17</f>
        <v>86.112000000000009</v>
      </c>
    </row>
    <row r="29" spans="1:12">
      <c r="A29" s="37"/>
      <c r="B29" s="38"/>
      <c r="C29" s="38"/>
      <c r="D29" s="38"/>
      <c r="E29" s="38"/>
      <c r="F29" s="38"/>
      <c r="G29" s="38"/>
      <c r="H29" s="38"/>
      <c r="I29" s="38"/>
      <c r="J29" s="39"/>
      <c r="K29" s="39"/>
    </row>
    <row r="30" spans="1:12">
      <c r="A30" s="37"/>
      <c r="B30" s="38"/>
      <c r="C30" s="38"/>
      <c r="D30" s="38"/>
      <c r="E30" s="38"/>
      <c r="F30" s="38"/>
      <c r="G30" s="78" t="s">
        <v>302</v>
      </c>
      <c r="H30" s="32"/>
      <c r="I30" s="40"/>
      <c r="J30" s="70"/>
      <c r="K30" s="72">
        <f>TRUNC(ROUND(+G28*1,2),2)</f>
        <v>73.599999999999994</v>
      </c>
      <c r="L30" s="74" t="s">
        <v>303</v>
      </c>
    </row>
    <row r="31" spans="1:12">
      <c r="A31" s="37"/>
      <c r="B31" s="38"/>
      <c r="C31" s="38"/>
      <c r="D31" s="38"/>
      <c r="E31" s="38"/>
      <c r="F31" s="38"/>
      <c r="G31" s="79" t="s">
        <v>304</v>
      </c>
      <c r="H31" s="67"/>
      <c r="I31" s="68"/>
      <c r="J31" s="69"/>
      <c r="K31" s="69">
        <f>TRUNC(ROUND(+I28*1,2),2)</f>
        <v>0</v>
      </c>
      <c r="L31" s="75" t="s">
        <v>303</v>
      </c>
    </row>
    <row r="32" spans="1:12">
      <c r="A32" s="37"/>
      <c r="B32" s="38"/>
      <c r="C32" s="38"/>
      <c r="D32" s="38"/>
      <c r="E32" s="38"/>
      <c r="F32" s="38"/>
      <c r="G32" s="78" t="s">
        <v>305</v>
      </c>
      <c r="H32" s="32"/>
      <c r="I32" s="71"/>
      <c r="J32" s="72"/>
      <c r="K32" s="72">
        <f>TRUNC(ROUND(+J28*1,2),2)</f>
        <v>73.599999999999994</v>
      </c>
      <c r="L32" s="74" t="s">
        <v>303</v>
      </c>
    </row>
    <row r="33" spans="1:12">
      <c r="A33" s="37"/>
      <c r="B33" s="38"/>
      <c r="C33" s="38"/>
      <c r="D33" s="38"/>
      <c r="E33" s="38"/>
      <c r="F33" s="38"/>
      <c r="G33" s="79" t="s">
        <v>306</v>
      </c>
      <c r="H33" s="67"/>
      <c r="I33" s="68"/>
      <c r="J33" s="69"/>
      <c r="K33" s="69">
        <f>TRUNC(ROUND(K28-J28,2),2)</f>
        <v>12.51</v>
      </c>
      <c r="L33" s="75" t="s">
        <v>303</v>
      </c>
    </row>
    <row r="34" spans="1:12" ht="15.6">
      <c r="B34" s="38"/>
      <c r="C34" s="38"/>
      <c r="D34" s="38"/>
      <c r="E34" s="38"/>
      <c r="F34" s="38"/>
      <c r="G34" s="80" t="s">
        <v>307</v>
      </c>
      <c r="H34" s="42"/>
      <c r="I34" s="43"/>
      <c r="J34" s="73"/>
      <c r="K34" s="76">
        <f>TRUNC(ROUND(+K32+K33,2),2)</f>
        <v>86.11</v>
      </c>
      <c r="L34" s="77" t="s">
        <v>303</v>
      </c>
    </row>
    <row r="43" spans="1:12">
      <c r="B43" s="10" t="s">
        <v>308</v>
      </c>
      <c r="H43" s="10" t="s">
        <v>288</v>
      </c>
    </row>
  </sheetData>
  <mergeCells count="10">
    <mergeCell ref="H12:I12"/>
    <mergeCell ref="J12:K12"/>
    <mergeCell ref="B14:C14"/>
    <mergeCell ref="B28:C28"/>
    <mergeCell ref="J1:K1"/>
    <mergeCell ref="J2:K2"/>
    <mergeCell ref="J3:K3"/>
    <mergeCell ref="J4:K4"/>
    <mergeCell ref="H11:I11"/>
    <mergeCell ref="J11:K11"/>
  </mergeCells>
  <pageMargins left="0.62992125984251968" right="0.23622047244094491" top="0.74803149606299213" bottom="0.74803149606299213" header="0.31496062992125984" footer="0.31496062992125984"/>
  <pageSetup paperSize="9" orientation="portrait" horizontalDpi="4294967293" verticalDpi="4294967293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61AE-01F2-4456-BD16-DA6F1E3104E5}">
  <sheetPr codeName="Sheet19"/>
  <dimension ref="A1:K43"/>
  <sheetViews>
    <sheetView zoomScaleNormal="100" workbookViewId="0">
      <selection activeCell="P14" sqref="P14"/>
    </sheetView>
  </sheetViews>
  <sheetFormatPr defaultRowHeight="14.45"/>
  <cols>
    <col min="1" max="1" width="3.28515625" style="9" customWidth="1"/>
    <col min="2" max="2" width="14.28515625" style="10" customWidth="1"/>
    <col min="3" max="3" width="15.5703125" style="10" customWidth="1"/>
    <col min="4" max="4" width="5.140625" style="10" bestFit="1" customWidth="1"/>
    <col min="5" max="5" width="5.140625" style="10" customWidth="1"/>
    <col min="6" max="6" width="5.5703125" style="10" customWidth="1"/>
    <col min="7" max="7" width="8" style="10" customWidth="1"/>
    <col min="8" max="8" width="3.7109375" style="10" customWidth="1"/>
    <col min="9" max="9" width="5.7109375" style="29" customWidth="1"/>
    <col min="10" max="10" width="7.42578125" style="10" customWidth="1"/>
    <col min="11" max="11" width="10.28515625" style="10" customWidth="1"/>
  </cols>
  <sheetData>
    <row r="1" spans="1:11">
      <c r="G1" s="82" t="s">
        <v>278</v>
      </c>
      <c r="H1" s="82"/>
      <c r="I1" s="11"/>
      <c r="J1" s="204">
        <f>'Za KIF-a'!E15</f>
        <v>22199</v>
      </c>
      <c r="K1" s="204"/>
    </row>
    <row r="2" spans="1:11">
      <c r="G2" s="81" t="s">
        <v>279</v>
      </c>
      <c r="H2" s="81"/>
      <c r="I2" s="11"/>
      <c r="J2" s="194">
        <f>'Za KIF-a'!D15</f>
        <v>1212</v>
      </c>
      <c r="K2" s="194"/>
    </row>
    <row r="3" spans="1:11">
      <c r="G3" s="81" t="s">
        <v>212</v>
      </c>
      <c r="H3" s="81"/>
      <c r="I3" s="13"/>
      <c r="J3" s="195">
        <f ca="1">'Za KIF-a'!L1</f>
        <v>44635</v>
      </c>
      <c r="K3" s="195"/>
    </row>
    <row r="4" spans="1:11">
      <c r="G4" s="81" t="s">
        <v>214</v>
      </c>
      <c r="H4" s="81"/>
      <c r="I4" s="13"/>
      <c r="J4" s="195">
        <f ca="1">'Za KIF-a'!L2</f>
        <v>44636</v>
      </c>
      <c r="K4" s="195"/>
    </row>
    <row r="5" spans="1:11">
      <c r="G5" s="81" t="s">
        <v>280</v>
      </c>
      <c r="H5" s="81"/>
      <c r="I5" s="13"/>
      <c r="J5" s="14" t="s">
        <v>26</v>
      </c>
      <c r="K5" s="14"/>
    </row>
    <row r="6" spans="1:11">
      <c r="B6" s="15" t="s">
        <v>281</v>
      </c>
      <c r="C6" s="16"/>
      <c r="D6" s="15"/>
      <c r="E6" s="16"/>
      <c r="F6" s="16" t="s">
        <v>282</v>
      </c>
      <c r="G6" s="16"/>
      <c r="H6" s="16"/>
      <c r="I6" s="16"/>
      <c r="J6" s="17"/>
      <c r="K6" s="16"/>
    </row>
    <row r="7" spans="1:11">
      <c r="B7" s="15" t="s">
        <v>283</v>
      </c>
      <c r="C7" s="16"/>
      <c r="D7" s="15"/>
      <c r="E7" s="16"/>
      <c r="F7" s="16" t="s">
        <v>284</v>
      </c>
      <c r="G7" s="16"/>
      <c r="H7" s="16"/>
      <c r="I7" s="16"/>
      <c r="J7" s="17"/>
      <c r="K7" s="16"/>
    </row>
    <row r="8" spans="1:11">
      <c r="B8" s="15" t="s">
        <v>14</v>
      </c>
      <c r="C8" s="16"/>
      <c r="D8" s="15"/>
      <c r="E8" s="16"/>
      <c r="F8" s="15" t="s">
        <v>285</v>
      </c>
      <c r="G8" s="16"/>
      <c r="H8" s="16"/>
      <c r="I8" s="16"/>
      <c r="J8" s="17"/>
      <c r="K8" s="16"/>
    </row>
    <row r="9" spans="1:11">
      <c r="B9" s="18" t="s">
        <v>286</v>
      </c>
      <c r="C9" s="19"/>
      <c r="D9" s="18"/>
      <c r="E9" s="19"/>
      <c r="F9" s="20" t="s">
        <v>287</v>
      </c>
      <c r="G9" s="19"/>
      <c r="H9" s="19"/>
      <c r="I9" s="19"/>
      <c r="J9" s="21"/>
      <c r="K9" s="19"/>
    </row>
    <row r="10" spans="1:11">
      <c r="B10" s="22" t="s">
        <v>288</v>
      </c>
      <c r="C10" s="28" t="s">
        <v>103</v>
      </c>
      <c r="D10" s="24"/>
      <c r="E10" s="24"/>
      <c r="F10" s="23"/>
      <c r="G10" s="25"/>
      <c r="H10" s="25"/>
      <c r="I10" s="26"/>
      <c r="J10" s="25"/>
      <c r="K10" s="25"/>
    </row>
    <row r="11" spans="1:11">
      <c r="B11" s="27" t="s">
        <v>289</v>
      </c>
      <c r="C11" s="28" t="s">
        <v>14</v>
      </c>
      <c r="D11" s="28"/>
      <c r="E11" s="28"/>
      <c r="F11" s="28"/>
      <c r="H11" s="200"/>
      <c r="I11" s="200"/>
      <c r="J11" s="198" t="s">
        <v>310</v>
      </c>
      <c r="K11" s="198"/>
    </row>
    <row r="12" spans="1:11">
      <c r="B12" s="27" t="s">
        <v>290</v>
      </c>
      <c r="C12" s="23" t="s">
        <v>102</v>
      </c>
      <c r="D12" s="28"/>
      <c r="E12" s="28"/>
      <c r="F12" s="28"/>
      <c r="H12" s="201"/>
      <c r="I12" s="201"/>
      <c r="J12" s="199"/>
      <c r="K12" s="199"/>
    </row>
    <row r="13" spans="1:11">
      <c r="C13" s="9"/>
      <c r="D13" s="9"/>
      <c r="K13" s="10" t="s">
        <v>291</v>
      </c>
    </row>
    <row r="14" spans="1:11" s="35" customFormat="1" ht="39.6" customHeight="1">
      <c r="A14" s="54" t="s">
        <v>292</v>
      </c>
      <c r="B14" s="202" t="s">
        <v>293</v>
      </c>
      <c r="C14" s="203"/>
      <c r="D14" s="30" t="s">
        <v>294</v>
      </c>
      <c r="E14" s="55" t="s">
        <v>295</v>
      </c>
      <c r="F14" s="30" t="s">
        <v>296</v>
      </c>
      <c r="G14" s="30" t="s">
        <v>297</v>
      </c>
      <c r="H14" s="61" t="s">
        <v>298</v>
      </c>
      <c r="I14" s="30" t="s">
        <v>299</v>
      </c>
      <c r="J14" s="30" t="s">
        <v>300</v>
      </c>
      <c r="K14" s="30" t="s">
        <v>301</v>
      </c>
    </row>
    <row r="15" spans="1:11">
      <c r="A15" s="31" t="str">
        <f>IF(B15="","","1")</f>
        <v>1</v>
      </c>
      <c r="B15" s="79" t="str">
        <f t="array" ref="B15">IFERROR(INDEX('Za fakturisanje'!$B$1:$B$50,SMALL(IF(ISNUMBER('Za fakturisanje'!$S$1:$S$50),ROW('Za fakturisanje'!$S$1:$S$50)),ROW(E1))),"")</f>
        <v>Svježe klice Alfalfa</v>
      </c>
      <c r="C15" s="46"/>
      <c r="D15" s="88" t="str">
        <f t="array" ref="D15">IFERROR(INDEX('Za fakturisanje'!$C$1:$C$50,SMALL(IF(ISNUMBER('Za fakturisanje'!$S$1:$S$50),ROW('Za fakturisanje'!$S$1:$S$50)),ROW(E1))),"")</f>
        <v>kom</v>
      </c>
      <c r="E15" s="31">
        <f t="array" ref="E15">IFERROR(INDEX('Za fakturisanje'!$S$1:$S$50,SMALL(IF(ISNUMBER('Za fakturisanje'!$S$1:$S$50),ROW('Za fakturisanje'!$S$1:$S$50)),ROW(E1))),"")</f>
        <v>1</v>
      </c>
      <c r="F15" s="41">
        <f t="array" ref="F15">IFERROR(INDEX('Za fakturisanje'!$E$1:$E$50,SMALL(IF(ISNUMBER('Za fakturisanje'!$S$1:$S$50),ROW('Za fakturisanje'!$S$1:$S$50)),ROW(E1))),"")</f>
        <v>3.47</v>
      </c>
      <c r="G15" s="33">
        <f>IF(E15="", "",+E15*F15)</f>
        <v>3.47</v>
      </c>
      <c r="H15" s="31"/>
      <c r="I15" s="41">
        <f>IF(B15="","",G15*H15/100)</f>
        <v>0</v>
      </c>
      <c r="J15" s="33">
        <f>IF(B15="", "",+G15-I15)</f>
        <v>3.47</v>
      </c>
      <c r="K15" s="33">
        <f>IF(B15="", "",+J15*1.17)</f>
        <v>4.0598999999999998</v>
      </c>
    </row>
    <row r="16" spans="1:11">
      <c r="A16" s="31" t="str">
        <f>IF(B16="","","2")</f>
        <v>2</v>
      </c>
      <c r="B16" s="79" t="str">
        <f t="array" ref="B16">IFERROR(INDEX('Za fakturisanje'!$B$1:$B$50,SMALL(IF(ISNUMBER('Za fakturisanje'!$S$1:$S$50),ROW('Za fakturisanje'!$S$1:$S$50)),ROW(E2))),"")</f>
        <v>Svježe klice Piskavica</v>
      </c>
      <c r="C16" s="46"/>
      <c r="D16" s="88" t="str">
        <f t="array" ref="D16">IFERROR(INDEX('Za fakturisanje'!$C$1:$C$50,SMALL(IF(ISNUMBER('Za fakturisanje'!$S$1:$S$50),ROW('Za fakturisanje'!$S$1:$S$50)),ROW(E2))),"")</f>
        <v>kom</v>
      </c>
      <c r="E16" s="31">
        <f t="array" ref="E16">IFERROR(INDEX('Za fakturisanje'!$S$1:$S$50,SMALL(IF(ISNUMBER('Za fakturisanje'!$S$1:$S$50),ROW('Za fakturisanje'!$S$1:$S$50)),ROW(E2))),"")</f>
        <v>1</v>
      </c>
      <c r="F16" s="41">
        <f t="array" ref="F16">IFERROR(INDEX('Za fakturisanje'!$E$1:$E$50,SMALL(IF(ISNUMBER('Za fakturisanje'!$S$1:$S$50),ROW('Za fakturisanje'!$S$1:$S$50)),ROW(E2))),"")</f>
        <v>3.47</v>
      </c>
      <c r="G16" s="33">
        <f t="shared" ref="G16:G27" si="0">IF(E16="", "",+E16*F16)</f>
        <v>3.47</v>
      </c>
      <c r="H16" s="31"/>
      <c r="I16" s="41">
        <f t="shared" ref="I16:I27" si="1">IF(B16="","",G16*H16/100)</f>
        <v>0</v>
      </c>
      <c r="J16" s="33">
        <f t="shared" ref="J16:J27" si="2">IF(B16="", "",+G16-I16)</f>
        <v>3.47</v>
      </c>
      <c r="K16" s="33">
        <f t="shared" ref="K16:K27" si="3">IF(B16="", "",+J16*1.17)</f>
        <v>4.0598999999999998</v>
      </c>
    </row>
    <row r="17" spans="1:11">
      <c r="A17" s="31" t="str">
        <f>IF(B17="","","3")</f>
        <v>3</v>
      </c>
      <c r="B17" s="79" t="str">
        <f t="array" ref="B17">IFERROR(INDEX('Za fakturisanje'!$B$1:$B$50,SMALL(IF(ISNUMBER('Za fakturisanje'!$S$1:$S$50),ROW('Za fakturisanje'!$S$1:$S$50)),ROW(E3))),"")</f>
        <v>Svježe klice mungo grah</v>
      </c>
      <c r="C17" s="46"/>
      <c r="D17" s="88" t="str">
        <f t="array" ref="D17">IFERROR(INDEX('Za fakturisanje'!$C$1:$C$50,SMALL(IF(ISNUMBER('Za fakturisanje'!$S$1:$S$50),ROW('Za fakturisanje'!$S$1:$S$50)),ROW(E3))),"")</f>
        <v>kom</v>
      </c>
      <c r="E17" s="31">
        <f t="array" ref="E17">IFERROR(INDEX('Za fakturisanje'!$S$1:$S$50,SMALL(IF(ISNUMBER('Za fakturisanje'!$S$1:$S$50),ROW('Za fakturisanje'!$S$1:$S$50)),ROW(E3))),"")</f>
        <v>1</v>
      </c>
      <c r="F17" s="41">
        <f t="array" ref="F17">IFERROR(INDEX('Za fakturisanje'!$E$1:$E$50,SMALL(IF(ISNUMBER('Za fakturisanje'!$S$1:$S$50),ROW('Za fakturisanje'!$S$1:$S$50)),ROW(E3))),"")</f>
        <v>3.47</v>
      </c>
      <c r="G17" s="33">
        <f t="shared" si="0"/>
        <v>3.47</v>
      </c>
      <c r="H17" s="31"/>
      <c r="I17" s="41">
        <f t="shared" si="1"/>
        <v>0</v>
      </c>
      <c r="J17" s="33">
        <f t="shared" si="2"/>
        <v>3.47</v>
      </c>
      <c r="K17" s="33">
        <f t="shared" si="3"/>
        <v>4.0598999999999998</v>
      </c>
    </row>
    <row r="18" spans="1:11">
      <c r="A18" s="31" t="str">
        <f>IF(B18="","","4")</f>
        <v>4</v>
      </c>
      <c r="B18" s="79" t="str">
        <f t="array" ref="B18">IFERROR(INDEX('Za fakturisanje'!$B$1:$B$50,SMALL(IF(ISNUMBER('Za fakturisanje'!$S$1:$S$50),ROW('Za fakturisanje'!$S$1:$S$50)),ROW(E4))),"")</f>
        <v>Svježe klice Leće</v>
      </c>
      <c r="C18" s="46"/>
      <c r="D18" s="88" t="str">
        <f t="array" ref="D18">IFERROR(INDEX('Za fakturisanje'!$C$1:$C$50,SMALL(IF(ISNUMBER('Za fakturisanje'!$S$1:$S$50),ROW('Za fakturisanje'!$S$1:$S$50)),ROW(E4))),"")</f>
        <v>kom</v>
      </c>
      <c r="E18" s="31">
        <f t="array" ref="E18">IFERROR(INDEX('Za fakturisanje'!$S$1:$S$50,SMALL(IF(ISNUMBER('Za fakturisanje'!$S$1:$S$50),ROW('Za fakturisanje'!$S$1:$S$50)),ROW(E4))),"")</f>
        <v>1</v>
      </c>
      <c r="F18" s="41">
        <f t="array" ref="F18">IFERROR(INDEX('Za fakturisanje'!$E$1:$E$50,SMALL(IF(ISNUMBER('Za fakturisanje'!$S$1:$S$50),ROW('Za fakturisanje'!$S$1:$S$50)),ROW(E4))),"")</f>
        <v>3.47</v>
      </c>
      <c r="G18" s="33">
        <f t="shared" si="0"/>
        <v>3.47</v>
      </c>
      <c r="H18" s="31"/>
      <c r="I18" s="41">
        <f t="shared" si="1"/>
        <v>0</v>
      </c>
      <c r="J18" s="33">
        <f t="shared" si="2"/>
        <v>3.47</v>
      </c>
      <c r="K18" s="33">
        <f t="shared" si="3"/>
        <v>4.0598999999999998</v>
      </c>
    </row>
    <row r="19" spans="1:11">
      <c r="A19" s="31" t="str">
        <f>IF(B19="","","5")</f>
        <v>5</v>
      </c>
      <c r="B19" s="79" t="str">
        <f t="array" ref="B19">IFERROR(INDEX('Za fakturisanje'!$B$1:$B$50,SMALL(IF(ISNUMBER('Za fakturisanje'!$S$1:$S$50),ROW('Za fakturisanje'!$S$1:$S$50)),ROW(E5))),"")</f>
        <v>Svježe klice China rose</v>
      </c>
      <c r="C19" s="53"/>
      <c r="D19" s="88" t="str">
        <f t="array" ref="D19">IFERROR(INDEX('Za fakturisanje'!$C$1:$C$50,SMALL(IF(ISNUMBER('Za fakturisanje'!$S$1:$S$50),ROW('Za fakturisanje'!$S$1:$S$50)),ROW(E5))),"")</f>
        <v>kom</v>
      </c>
      <c r="E19" s="31">
        <f t="array" ref="E19">IFERROR(INDEX('Za fakturisanje'!$S$1:$S$50,SMALL(IF(ISNUMBER('Za fakturisanje'!$S$1:$S$50),ROW('Za fakturisanje'!$S$1:$S$50)),ROW(E5))),"")</f>
        <v>1</v>
      </c>
      <c r="F19" s="41">
        <f t="array" ref="F19">IFERROR(INDEX('Za fakturisanje'!$E$1:$E$50,SMALL(IF(ISNUMBER('Za fakturisanje'!$S$1:$S$50),ROW('Za fakturisanje'!$S$1:$S$50)),ROW(E5))),"")</f>
        <v>3.47</v>
      </c>
      <c r="G19" s="33">
        <f t="shared" si="0"/>
        <v>3.47</v>
      </c>
      <c r="H19" s="31"/>
      <c r="I19" s="41">
        <f t="shared" si="1"/>
        <v>0</v>
      </c>
      <c r="J19" s="33">
        <f t="shared" si="2"/>
        <v>3.47</v>
      </c>
      <c r="K19" s="33">
        <f t="shared" si="3"/>
        <v>4.0598999999999998</v>
      </c>
    </row>
    <row r="20" spans="1:11">
      <c r="A20" s="31" t="str">
        <f>IF(B20="","","6")</f>
        <v>6</v>
      </c>
      <c r="B20" s="79" t="str">
        <f t="array" ref="B20">IFERROR(INDEX('Za fakturisanje'!$B$1:$B$50,SMALL(IF(ISNUMBER('Za fakturisanje'!$S$1:$S$50),ROW('Za fakturisanje'!$S$1:$S$50)),ROW(E6))),"")</f>
        <v>Svježe klice Daikon</v>
      </c>
      <c r="C20" s="48"/>
      <c r="D20" s="88" t="str">
        <f t="array" ref="D20">IFERROR(INDEX('Za fakturisanje'!$C$1:$C$50,SMALL(IF(ISNUMBER('Za fakturisanje'!$S$1:$S$50),ROW('Za fakturisanje'!$S$1:$S$50)),ROW(E6))),"")</f>
        <v>kom</v>
      </c>
      <c r="E20" s="31">
        <f t="array" ref="E20">IFERROR(INDEX('Za fakturisanje'!$S$1:$S$50,SMALL(IF(ISNUMBER('Za fakturisanje'!$S$1:$S$50),ROW('Za fakturisanje'!$S$1:$S$50)),ROW(E6))),"")</f>
        <v>2</v>
      </c>
      <c r="F20" s="41">
        <f t="array" ref="F20">IFERROR(INDEX('Za fakturisanje'!$E$1:$E$50,SMALL(IF(ISNUMBER('Za fakturisanje'!$S$1:$S$50),ROW('Za fakturisanje'!$S$1:$S$50)),ROW(E6))),"")</f>
        <v>3.47</v>
      </c>
      <c r="G20" s="33">
        <f t="shared" si="0"/>
        <v>6.94</v>
      </c>
      <c r="H20" s="31"/>
      <c r="I20" s="41">
        <f t="shared" si="1"/>
        <v>0</v>
      </c>
      <c r="J20" s="33">
        <f t="shared" si="2"/>
        <v>6.94</v>
      </c>
      <c r="K20" s="33">
        <f t="shared" si="3"/>
        <v>8.1197999999999997</v>
      </c>
    </row>
    <row r="21" spans="1:11">
      <c r="A21" s="31" t="str">
        <f>IF(B21="","","7")</f>
        <v/>
      </c>
      <c r="B21" s="79" t="str">
        <f t="array" ref="B21">IFERROR(INDEX('Za fakturisanje'!$B$1:$B$50,SMALL(IF(ISNUMBER('Za fakturisanje'!$S$1:$S$50),ROW('Za fakturisanje'!$S$1:$S$50)),ROW(E7))),"")</f>
        <v/>
      </c>
      <c r="C21" s="49"/>
      <c r="D21" s="88" t="str">
        <f t="array" ref="D21">IFERROR(INDEX('Za fakturisanje'!$C$1:$C$50,SMALL(IF(ISNUMBER('Za fakturisanje'!$S$1:$S$50),ROW('Za fakturisanje'!$S$1:$S$50)),ROW(E7))),"")</f>
        <v/>
      </c>
      <c r="E21" s="31" t="str">
        <f t="array" ref="E21">IFERROR(INDEX('Za fakturisanje'!$S$1:$S$50,SMALL(IF(ISNUMBER('Za fakturisanje'!$S$1:$S$50),ROW('Za fakturisanje'!$S$1:$S$50)),ROW(E7))),"")</f>
        <v/>
      </c>
      <c r="F21" s="41" t="str">
        <f t="array" ref="F21">IFERROR(INDEX('Za fakturisanje'!$E$1:$E$50,SMALL(IF(ISNUMBER('Za fakturisanje'!$S$1:$S$50),ROW('Za fakturisanje'!$S$1:$S$50)),ROW(E7))),"")</f>
        <v/>
      </c>
      <c r="G21" s="33" t="str">
        <f t="shared" si="0"/>
        <v/>
      </c>
      <c r="H21" s="31"/>
      <c r="I21" s="41" t="str">
        <f t="shared" si="1"/>
        <v/>
      </c>
      <c r="J21" s="33" t="str">
        <f t="shared" si="2"/>
        <v/>
      </c>
      <c r="K21" s="33" t="str">
        <f t="shared" si="3"/>
        <v/>
      </c>
    </row>
    <row r="22" spans="1:11">
      <c r="A22" s="31" t="str">
        <f>IF(B22="","","8")</f>
        <v/>
      </c>
      <c r="B22" s="79" t="str">
        <f t="array" ref="B22">IFERROR(INDEX('Za fakturisanje'!$B$1:$B$50,SMALL(IF(ISNUMBER('Za fakturisanje'!$S$1:$S$50),ROW('Za fakturisanje'!$S$1:$S$50)),ROW(E8))),"")</f>
        <v/>
      </c>
      <c r="C22" s="49"/>
      <c r="D22" s="88" t="str">
        <f t="array" ref="D22">IFERROR(INDEX('Za fakturisanje'!$C$1:$C$50,SMALL(IF(ISNUMBER('Za fakturisanje'!$S$1:$S$50),ROW('Za fakturisanje'!$S$1:$S$50)),ROW(E8))),"")</f>
        <v/>
      </c>
      <c r="E22" s="31" t="str">
        <f t="array" ref="E22">IFERROR(INDEX('Za fakturisanje'!$S$1:$S$50,SMALL(IF(ISNUMBER('Za fakturisanje'!$S$1:$S$50),ROW('Za fakturisanje'!$S$1:$S$50)),ROW(E8))),"")</f>
        <v/>
      </c>
      <c r="F22" s="41" t="str">
        <f t="array" ref="F22">IFERROR(INDEX('Za fakturisanje'!$E$1:$E$50,SMALL(IF(ISNUMBER('Za fakturisanje'!$S$1:$S$50),ROW('Za fakturisanje'!$S$1:$S$50)),ROW(E8))),"")</f>
        <v/>
      </c>
      <c r="G22" s="33" t="str">
        <f t="shared" si="0"/>
        <v/>
      </c>
      <c r="H22" s="31" t="str">
        <f>IF(B22="","",VLOOKUP($C$12,kupci!$A:$J,6,FALSE))</f>
        <v/>
      </c>
      <c r="I22" s="41" t="str">
        <f t="shared" si="1"/>
        <v/>
      </c>
      <c r="J22" s="33" t="str">
        <f t="shared" si="2"/>
        <v/>
      </c>
      <c r="K22" s="33" t="str">
        <f t="shared" si="3"/>
        <v/>
      </c>
    </row>
    <row r="23" spans="1:11">
      <c r="A23" s="31" t="str">
        <f>IF(B23="","","9")</f>
        <v/>
      </c>
      <c r="B23" s="79" t="str">
        <f t="array" ref="B23">IFERROR(INDEX('Za fakturisanje'!$B$1:$B$50,SMALL(IF(ISNUMBER('Za fakturisanje'!$S$1:$S$50),ROW('Za fakturisanje'!$S$1:$S$50)),ROW(E9))),"")</f>
        <v/>
      </c>
      <c r="C23" s="51"/>
      <c r="D23" s="88" t="str">
        <f t="array" ref="D23">IFERROR(INDEX('Za fakturisanje'!$C$1:$C$50,SMALL(IF(ISNUMBER('Za fakturisanje'!$S$1:$S$50),ROW('Za fakturisanje'!$S$1:$S$50)),ROW(E9))),"")</f>
        <v/>
      </c>
      <c r="E23" s="31" t="str">
        <f t="array" ref="E23">IFERROR(INDEX('Za fakturisanje'!$S$1:$S$50,SMALL(IF(ISNUMBER('Za fakturisanje'!$S$1:$S$50),ROW('Za fakturisanje'!$S$1:$S$50)),ROW(E9))),"")</f>
        <v/>
      </c>
      <c r="F23" s="41" t="str">
        <f t="array" ref="F23">IFERROR(INDEX('Za fakturisanje'!$E$1:$E$50,SMALL(IF(ISNUMBER('Za fakturisanje'!$S$1:$S$50),ROW('Za fakturisanje'!$S$1:$S$50)),ROW(E9))),"")</f>
        <v/>
      </c>
      <c r="G23" s="33" t="str">
        <f t="shared" si="0"/>
        <v/>
      </c>
      <c r="H23" s="31" t="str">
        <f>IF(B23="","",VLOOKUP($C$12,kupci!$A:$J,6,FALSE))</f>
        <v/>
      </c>
      <c r="I23" s="41" t="str">
        <f t="shared" si="1"/>
        <v/>
      </c>
      <c r="J23" s="33" t="str">
        <f t="shared" si="2"/>
        <v/>
      </c>
      <c r="K23" s="33" t="str">
        <f t="shared" si="3"/>
        <v/>
      </c>
    </row>
    <row r="24" spans="1:11">
      <c r="A24" s="31" t="str">
        <f>IF(B24="","","10")</f>
        <v/>
      </c>
      <c r="B24" s="79" t="str">
        <f t="array" ref="B24">IFERROR(INDEX('Za fakturisanje'!$B$1:$B$50,SMALL(IF(ISNUMBER('Za fakturisanje'!$S$1:$S$50),ROW('Za fakturisanje'!$S$1:$S$50)),ROW(E10))),"")</f>
        <v/>
      </c>
      <c r="C24" s="52"/>
      <c r="D24" s="88" t="str">
        <f t="array" ref="D24">IFERROR(INDEX('Za fakturisanje'!$C$1:$C$50,SMALL(IF(ISNUMBER('Za fakturisanje'!$S$1:$S$50),ROW('Za fakturisanje'!$S$1:$S$50)),ROW(E10))),"")</f>
        <v/>
      </c>
      <c r="E24" s="31" t="str">
        <f t="array" ref="E24">IFERROR(INDEX('Za fakturisanje'!$S$1:$S$50,SMALL(IF(ISNUMBER('Za fakturisanje'!$S$1:$S$50),ROW('Za fakturisanje'!$S$1:$S$50)),ROW(E10))),"")</f>
        <v/>
      </c>
      <c r="F24" s="41" t="str">
        <f t="array" ref="F24">IFERROR(INDEX('Za fakturisanje'!$E$1:$E$50,SMALL(IF(ISNUMBER('Za fakturisanje'!$S$1:$S$50),ROW('Za fakturisanje'!$S$1:$S$50)),ROW(E10))),"")</f>
        <v/>
      </c>
      <c r="G24" s="33" t="str">
        <f t="shared" si="0"/>
        <v/>
      </c>
      <c r="H24" s="31" t="str">
        <f>IF(B24="","",VLOOKUP($C$12,kupci!$A:$J,6,FALSE))</f>
        <v/>
      </c>
      <c r="I24" s="41" t="str">
        <f t="shared" si="1"/>
        <v/>
      </c>
      <c r="J24" s="33" t="str">
        <f t="shared" si="2"/>
        <v/>
      </c>
      <c r="K24" s="33" t="str">
        <f t="shared" si="3"/>
        <v/>
      </c>
    </row>
    <row r="25" spans="1:11">
      <c r="A25" s="31" t="str">
        <f>IF(B25="","","11")</f>
        <v/>
      </c>
      <c r="B25" s="79" t="str">
        <f t="array" ref="B25">IFERROR(INDEX('Za fakturisanje'!$B$1:$B$50,SMALL(IF(ISNUMBER('Za fakturisanje'!$S$1:$S$50),ROW('Za fakturisanje'!$S$1:$S$50)),ROW(E11))),"")</f>
        <v/>
      </c>
      <c r="C25" s="48"/>
      <c r="D25" s="88" t="str">
        <f t="array" ref="D25">IFERROR(INDEX('Za fakturisanje'!$C$1:$C$50,SMALL(IF(ISNUMBER('Za fakturisanje'!$S$1:$S$50),ROW('Za fakturisanje'!$S$1:$S$50)),ROW(E11))),"")</f>
        <v/>
      </c>
      <c r="E25" s="31" t="str">
        <f t="array" ref="E25">IFERROR(INDEX('Za fakturisanje'!$S$1:$S$50,SMALL(IF(ISNUMBER('Za fakturisanje'!$S$1:$S$50),ROW('Za fakturisanje'!$S$1:$S$50)),ROW(E11))),"")</f>
        <v/>
      </c>
      <c r="F25" s="41" t="str">
        <f t="array" ref="F25">IFERROR(INDEX('Za fakturisanje'!$E$1:$E$50,SMALL(IF(ISNUMBER('Za fakturisanje'!$S$1:$S$50),ROW('Za fakturisanje'!$S$1:$S$50)),ROW(E11))),"")</f>
        <v/>
      </c>
      <c r="G25" s="33" t="str">
        <f t="shared" si="0"/>
        <v/>
      </c>
      <c r="H25" s="31" t="str">
        <f>IF(B25="","",VLOOKUP($C$12,kupci!$A:$J,6,FALSE))</f>
        <v/>
      </c>
      <c r="I25" s="41" t="str">
        <f t="shared" si="1"/>
        <v/>
      </c>
      <c r="J25" s="33" t="str">
        <f t="shared" si="2"/>
        <v/>
      </c>
      <c r="K25" s="33" t="str">
        <f t="shared" si="3"/>
        <v/>
      </c>
    </row>
    <row r="26" spans="1:11">
      <c r="A26" s="31" t="str">
        <f>IF(B26="","","12")</f>
        <v/>
      </c>
      <c r="B26" s="79" t="str">
        <f t="array" ref="B26">IFERROR(INDEX('Za fakturisanje'!$B$1:$B$50,SMALL(IF(ISNUMBER('Za fakturisanje'!$S$1:$S$50),ROW('Za fakturisanje'!$S$1:$S$50)),ROW(E12))),"")</f>
        <v/>
      </c>
      <c r="C26" s="49"/>
      <c r="D26" s="88" t="str">
        <f t="array" ref="D26">IFERROR(INDEX('Za fakturisanje'!$C$1:$C$50,SMALL(IF(ISNUMBER('Za fakturisanje'!$S$1:$S$50),ROW('Za fakturisanje'!$S$1:$S$50)),ROW(E12))),"")</f>
        <v/>
      </c>
      <c r="E26" s="31" t="str">
        <f t="array" ref="E26">IFERROR(INDEX('Za fakturisanje'!$S$1:$S$50,SMALL(IF(ISNUMBER('Za fakturisanje'!$S$1:$S$50),ROW('Za fakturisanje'!$S$1:$S$50)),ROW(E12))),"")</f>
        <v/>
      </c>
      <c r="F26" s="41" t="str">
        <f t="array" ref="F26">IFERROR(INDEX('Za fakturisanje'!$E$1:$E$50,SMALL(IF(ISNUMBER('Za fakturisanje'!$S$1:$S$50),ROW('Za fakturisanje'!$S$1:$S$50)),ROW(E12))),"")</f>
        <v/>
      </c>
      <c r="G26" s="33" t="str">
        <f t="shared" si="0"/>
        <v/>
      </c>
      <c r="H26" s="31" t="str">
        <f>IF(B26="","",VLOOKUP($C$12,kupci!$A:$J,6,FALSE))</f>
        <v/>
      </c>
      <c r="I26" s="41" t="str">
        <f t="shared" si="1"/>
        <v/>
      </c>
      <c r="J26" s="33" t="str">
        <f t="shared" si="2"/>
        <v/>
      </c>
      <c r="K26" s="33" t="str">
        <f t="shared" si="3"/>
        <v/>
      </c>
    </row>
    <row r="27" spans="1:11">
      <c r="A27" s="31" t="str">
        <f>IF(B27="","","13")</f>
        <v/>
      </c>
      <c r="B27" s="79" t="str">
        <f t="array" ref="B27">IFERROR(INDEX('Za fakturisanje'!$B$1:$B$50,SMALL(IF(ISNUMBER('Za fakturisanje'!$S$1:$S$50),ROW('Za fakturisanje'!$S$1:$S$50)),ROW(E13))),"")</f>
        <v/>
      </c>
      <c r="C27" s="50"/>
      <c r="D27" s="88" t="str">
        <f t="array" ref="D27">IFERROR(INDEX('Za fakturisanje'!$C$1:$C$50,SMALL(IF(ISNUMBER('Za fakturisanje'!$S$1:$S$50),ROW('Za fakturisanje'!$S$1:$S$50)),ROW(E13))),"")</f>
        <v/>
      </c>
      <c r="E27" s="31" t="str">
        <f t="array" ref="E27">IFERROR(INDEX('Za fakturisanje'!$S$1:$S$50,SMALL(IF(ISNUMBER('Za fakturisanje'!$S$1:$S$50),ROW('Za fakturisanje'!$S$1:$S$50)),ROW(E13))),"")</f>
        <v/>
      </c>
      <c r="F27" s="41" t="str">
        <f t="array" ref="F27">IFERROR(INDEX('Za fakturisanje'!$E$1:$E$50,SMALL(IF(ISNUMBER('Za fakturisanje'!$S$1:$S$50),ROW('Za fakturisanje'!$S$1:$S$50)),ROW(E13))),"")</f>
        <v/>
      </c>
      <c r="G27" s="33" t="str">
        <f t="shared" si="0"/>
        <v/>
      </c>
      <c r="H27" s="31" t="str">
        <f>IF(B27="","",VLOOKUP($C$12,kupci!$A:$J,6,FALSE))</f>
        <v/>
      </c>
      <c r="I27" s="41" t="str">
        <f t="shared" si="1"/>
        <v/>
      </c>
      <c r="J27" s="33" t="str">
        <f t="shared" si="2"/>
        <v/>
      </c>
      <c r="K27" s="33" t="str">
        <f t="shared" si="3"/>
        <v/>
      </c>
    </row>
    <row r="28" spans="1:11">
      <c r="A28" s="31"/>
      <c r="B28" s="196"/>
      <c r="C28" s="197"/>
      <c r="D28" s="32"/>
      <c r="E28" s="36">
        <f>SUM(E15:E27)</f>
        <v>7</v>
      </c>
      <c r="F28" s="34"/>
      <c r="G28" s="33">
        <f>SUM(G15:G27)</f>
        <v>24.290000000000003</v>
      </c>
      <c r="H28" s="36"/>
      <c r="I28" s="34">
        <f>SUM(I15:I27)</f>
        <v>0</v>
      </c>
      <c r="J28" s="34">
        <f>+G28-I28</f>
        <v>24.290000000000003</v>
      </c>
      <c r="K28" s="34">
        <f>+J28*1.17</f>
        <v>28.4193</v>
      </c>
    </row>
    <row r="29" spans="1:11">
      <c r="A29" s="37"/>
      <c r="B29" s="38"/>
      <c r="C29" s="38"/>
      <c r="D29" s="38"/>
      <c r="E29" s="38"/>
      <c r="F29" s="38"/>
      <c r="G29" s="38"/>
      <c r="H29" s="38"/>
      <c r="I29" s="38"/>
      <c r="J29" s="39"/>
      <c r="K29" s="39"/>
    </row>
    <row r="30" spans="1:11">
      <c r="A30" s="37"/>
      <c r="B30" s="38"/>
      <c r="C30" s="38"/>
      <c r="D30" s="38"/>
      <c r="E30" s="38"/>
      <c r="F30" s="38"/>
      <c r="G30" s="78" t="s">
        <v>302</v>
      </c>
      <c r="H30" s="32"/>
      <c r="I30" s="40"/>
      <c r="J30" s="70"/>
      <c r="K30" s="72">
        <f>TRUNC(ROUND(+G28*1,2),2)</f>
        <v>24.29</v>
      </c>
    </row>
    <row r="31" spans="1:11">
      <c r="A31" s="37"/>
      <c r="B31" s="38"/>
      <c r="C31" s="38"/>
      <c r="D31" s="38"/>
      <c r="E31" s="38"/>
      <c r="F31" s="38"/>
      <c r="G31" s="79" t="s">
        <v>304</v>
      </c>
      <c r="H31" s="67"/>
      <c r="I31" s="68"/>
      <c r="J31" s="69"/>
      <c r="K31" s="69">
        <f>TRUNC(ROUND(+I28*1,2),2)</f>
        <v>0</v>
      </c>
    </row>
    <row r="32" spans="1:11">
      <c r="A32" s="37"/>
      <c r="B32" s="38"/>
      <c r="C32" s="38"/>
      <c r="D32" s="38"/>
      <c r="E32" s="38"/>
      <c r="F32" s="38"/>
      <c r="G32" s="78" t="s">
        <v>305</v>
      </c>
      <c r="H32" s="32"/>
      <c r="I32" s="71"/>
      <c r="J32" s="72"/>
      <c r="K32" s="72">
        <f>TRUNC(ROUND(+J28*1,2),2)</f>
        <v>24.29</v>
      </c>
    </row>
    <row r="33" spans="1:11">
      <c r="A33" s="37"/>
      <c r="B33" s="38"/>
      <c r="C33" s="38"/>
      <c r="D33" s="38"/>
      <c r="E33" s="38"/>
      <c r="F33" s="38"/>
      <c r="G33" s="79" t="s">
        <v>306</v>
      </c>
      <c r="H33" s="67"/>
      <c r="I33" s="68"/>
      <c r="J33" s="69"/>
      <c r="K33" s="69">
        <f>TRUNC(ROUND(K28-J28,2),2)</f>
        <v>4.13</v>
      </c>
    </row>
    <row r="34" spans="1:11" ht="15.6">
      <c r="B34" s="38"/>
      <c r="C34" s="38"/>
      <c r="D34" s="38"/>
      <c r="E34" s="38"/>
      <c r="F34" s="38"/>
      <c r="G34" s="80" t="s">
        <v>307</v>
      </c>
      <c r="H34" s="42"/>
      <c r="I34" s="43"/>
      <c r="J34" s="73"/>
      <c r="K34" s="76">
        <f>TRUNC(ROUND(+K32+K33,2),2)</f>
        <v>28.42</v>
      </c>
    </row>
    <row r="43" spans="1:11">
      <c r="B43" s="10" t="s">
        <v>308</v>
      </c>
      <c r="H43" s="10" t="s">
        <v>288</v>
      </c>
    </row>
  </sheetData>
  <sheetProtection sheet="1" objects="1" scenarios="1"/>
  <mergeCells count="10">
    <mergeCell ref="H12:I12"/>
    <mergeCell ref="J12:K12"/>
    <mergeCell ref="B14:C14"/>
    <mergeCell ref="B28:C28"/>
    <mergeCell ref="J1:K1"/>
    <mergeCell ref="J2:K2"/>
    <mergeCell ref="J3:K3"/>
    <mergeCell ref="J4:K4"/>
    <mergeCell ref="H11:I11"/>
    <mergeCell ref="J11:K11"/>
  </mergeCells>
  <pageMargins left="0.62992125984251968" right="0.23622047244094491" top="0.74803149606299213" bottom="0.74803149606299213" header="0.31496062992125984" footer="0.31496062992125984"/>
  <pageSetup paperSize="9" orientation="portrait" horizontalDpi="4294967293" verticalDpi="4294967293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3D29-DA18-49A7-A8FC-7BE0F4E41058}">
  <sheetPr codeName="Sheet20"/>
  <dimension ref="A1:L43"/>
  <sheetViews>
    <sheetView zoomScaleNormal="100" workbookViewId="0">
      <selection activeCell="F6" sqref="F6:K7"/>
    </sheetView>
  </sheetViews>
  <sheetFormatPr defaultRowHeight="14.45"/>
  <cols>
    <col min="1" max="1" width="3.28515625" style="9" customWidth="1"/>
    <col min="2" max="2" width="14.28515625" style="10" customWidth="1"/>
    <col min="3" max="3" width="15.5703125" style="10" customWidth="1"/>
    <col min="4" max="4" width="5.140625" style="10" bestFit="1" customWidth="1"/>
    <col min="5" max="5" width="5.140625" style="10" customWidth="1"/>
    <col min="6" max="6" width="5.5703125" style="10" customWidth="1"/>
    <col min="7" max="7" width="8" style="10" customWidth="1"/>
    <col min="8" max="8" width="3.7109375" style="10" customWidth="1"/>
    <col min="9" max="9" width="5.7109375" style="29" customWidth="1"/>
    <col min="10" max="10" width="7.42578125" style="10" customWidth="1"/>
    <col min="11" max="11" width="10.28515625" style="10" customWidth="1"/>
    <col min="12" max="12" width="3.42578125" style="10" customWidth="1"/>
  </cols>
  <sheetData>
    <row r="1" spans="1:12">
      <c r="G1" s="82" t="s">
        <v>278</v>
      </c>
      <c r="H1" s="82"/>
      <c r="I1" s="11"/>
      <c r="J1" s="204" t="str">
        <f>'Za KIF-a'!E16</f>
        <v/>
      </c>
      <c r="K1" s="204"/>
    </row>
    <row r="2" spans="1:12">
      <c r="G2" s="81" t="s">
        <v>279</v>
      </c>
      <c r="H2" s="81"/>
      <c r="I2" s="11"/>
      <c r="J2" s="194" t="str">
        <f>'Za KIF-a'!D16</f>
        <v/>
      </c>
      <c r="K2" s="194"/>
    </row>
    <row r="3" spans="1:12">
      <c r="G3" s="81" t="s">
        <v>212</v>
      </c>
      <c r="H3" s="81"/>
      <c r="I3" s="13"/>
      <c r="J3" s="195">
        <f ca="1">'Za KIF-a'!L1</f>
        <v>44635</v>
      </c>
      <c r="K3" s="195"/>
    </row>
    <row r="4" spans="1:12">
      <c r="G4" s="81" t="s">
        <v>214</v>
      </c>
      <c r="H4" s="81"/>
      <c r="I4" s="13"/>
      <c r="J4" s="195">
        <f ca="1">'Za KIF-a'!L2</f>
        <v>44636</v>
      </c>
      <c r="K4" s="195"/>
    </row>
    <row r="5" spans="1:12">
      <c r="G5" s="81" t="s">
        <v>280</v>
      </c>
      <c r="H5" s="81"/>
      <c r="I5" s="13"/>
      <c r="J5" s="14" t="str">
        <f>VLOOKUP($C$12,kupci!$A:$J,7,FALSE)</f>
        <v>7 dana</v>
      </c>
      <c r="K5" s="14"/>
    </row>
    <row r="6" spans="1:12">
      <c r="B6" s="15" t="s">
        <v>281</v>
      </c>
      <c r="C6" s="16"/>
      <c r="D6" s="15"/>
      <c r="E6" s="16"/>
      <c r="F6" s="16" t="s">
        <v>282</v>
      </c>
      <c r="G6" s="16"/>
      <c r="H6" s="16"/>
      <c r="I6" s="16"/>
      <c r="J6" s="17"/>
      <c r="K6" s="16"/>
    </row>
    <row r="7" spans="1:12">
      <c r="B7" s="15" t="s">
        <v>283</v>
      </c>
      <c r="C7" s="16"/>
      <c r="D7" s="15"/>
      <c r="E7" s="16"/>
      <c r="F7" s="16" t="s">
        <v>284</v>
      </c>
      <c r="G7" s="16"/>
      <c r="H7" s="16"/>
      <c r="I7" s="16"/>
      <c r="J7" s="17"/>
      <c r="K7" s="16"/>
    </row>
    <row r="8" spans="1:12">
      <c r="B8" s="15" t="s">
        <v>14</v>
      </c>
      <c r="C8" s="16"/>
      <c r="D8" s="15"/>
      <c r="E8" s="16"/>
      <c r="F8" s="15" t="s">
        <v>285</v>
      </c>
      <c r="G8" s="16"/>
      <c r="H8" s="16"/>
      <c r="I8" s="16"/>
      <c r="J8" s="17"/>
      <c r="K8" s="16"/>
    </row>
    <row r="9" spans="1:12">
      <c r="B9" s="18" t="s">
        <v>286</v>
      </c>
      <c r="C9" s="19"/>
      <c r="D9" s="18"/>
      <c r="E9" s="19"/>
      <c r="F9" s="20" t="s">
        <v>287</v>
      </c>
      <c r="G9" s="19"/>
      <c r="H9" s="19"/>
      <c r="I9" s="19"/>
      <c r="J9" s="21"/>
      <c r="K9" s="19"/>
    </row>
    <row r="10" spans="1:12">
      <c r="B10" s="22" t="s">
        <v>288</v>
      </c>
      <c r="C10" s="28" t="str">
        <f>VLOOKUP($C$12,kupci!$A:$J,2,FALSE)</f>
        <v>Kenna d.o.o. Sarajevo</v>
      </c>
      <c r="D10" s="24"/>
      <c r="E10" s="24"/>
      <c r="F10" s="23"/>
      <c r="G10" s="25"/>
      <c r="H10" s="25"/>
      <c r="I10" s="26"/>
      <c r="J10" s="25"/>
      <c r="K10" s="25"/>
    </row>
    <row r="11" spans="1:12">
      <c r="B11" s="27" t="s">
        <v>289</v>
      </c>
      <c r="C11" s="28" t="str">
        <f>VLOOKUP($C$12,kupci!$A:$J,3,FALSE)</f>
        <v>Sarajevo, 71000</v>
      </c>
      <c r="D11" s="28"/>
      <c r="E11" s="28"/>
      <c r="F11" s="28"/>
      <c r="H11" s="200" t="str">
        <f>IF(J11="*", "",  "PDV broj")</f>
        <v>PDV broj</v>
      </c>
      <c r="I11" s="200"/>
      <c r="J11" s="198" t="str">
        <f>VLOOKUP($C$12,kupci!$A:$J,4,FALSE)</f>
        <v>200544250004</v>
      </c>
      <c r="K11" s="198"/>
    </row>
    <row r="12" spans="1:12">
      <c r="B12" s="27" t="s">
        <v>290</v>
      </c>
      <c r="C12" s="23" t="str">
        <f>'Za fakturisanje'!T$2</f>
        <v>Metropolis, Ul. Maršala Tita 21</v>
      </c>
      <c r="D12" s="28"/>
      <c r="E12" s="28"/>
      <c r="F12" s="28"/>
      <c r="H12" s="201" t="str">
        <f>IF(J12="*", "",  "ID broj")</f>
        <v>ID broj</v>
      </c>
      <c r="I12" s="201"/>
      <c r="J12" s="199" t="str">
        <f>VLOOKUP($C$12,kupci!$A:$J,5,FALSE)</f>
        <v>4200544250004</v>
      </c>
      <c r="K12" s="199"/>
    </row>
    <row r="13" spans="1:12">
      <c r="C13" s="9"/>
      <c r="D13" s="9"/>
      <c r="K13" s="10" t="s">
        <v>291</v>
      </c>
    </row>
    <row r="14" spans="1:12" s="35" customFormat="1" ht="39.6" customHeight="1">
      <c r="A14" s="54" t="s">
        <v>292</v>
      </c>
      <c r="B14" s="202" t="s">
        <v>293</v>
      </c>
      <c r="C14" s="203"/>
      <c r="D14" s="30" t="s">
        <v>294</v>
      </c>
      <c r="E14" s="55" t="s">
        <v>295</v>
      </c>
      <c r="F14" s="30" t="s">
        <v>296</v>
      </c>
      <c r="G14" s="30" t="s">
        <v>297</v>
      </c>
      <c r="H14" s="61" t="s">
        <v>298</v>
      </c>
      <c r="I14" s="30" t="s">
        <v>299</v>
      </c>
      <c r="J14" s="30" t="s">
        <v>300</v>
      </c>
      <c r="K14" s="30" t="s">
        <v>301</v>
      </c>
      <c r="L14" s="56"/>
    </row>
    <row r="15" spans="1:12">
      <c r="A15" s="31" t="str">
        <f>IF(B15="","","1")</f>
        <v/>
      </c>
      <c r="B15" s="79" t="str">
        <f t="array" ref="B15">IFERROR(INDEX('Za fakturisanje'!$B$1:$B$50,SMALL(IF(ISNUMBER('Za fakturisanje'!$T$1:$T$50),ROW('Za fakturisanje'!$T$1:$T$50)),ROW(E1))),"")</f>
        <v/>
      </c>
      <c r="C15" s="46"/>
      <c r="D15" s="88" t="str">
        <f t="array" ref="D15">IFERROR(INDEX('Za fakturisanje'!$C$1:$C$50,SMALL(IF(ISNUMBER('Za fakturisanje'!$T$1:$T$50),ROW('Za fakturisanje'!$T$1:$T$50)),ROW(E1))),"")</f>
        <v/>
      </c>
      <c r="E15" s="31" t="str">
        <f t="array" ref="E15">IFERROR(INDEX('Za fakturisanje'!$T$1:$T$50,SMALL(IF(ISNUMBER('Za fakturisanje'!$T$1:$T$50),ROW('Za fakturisanje'!$T$1:$T$50)),ROW(E1))),"")</f>
        <v/>
      </c>
      <c r="F15" s="41" t="str">
        <f t="array" ref="F15">IFERROR(INDEX('Za fakturisanje'!$E$1:$E$50,SMALL(IF(ISNUMBER('Za fakturisanje'!$T$1:$T$50),ROW('Za fakturisanje'!$T$1:$T$50)),ROW(E1))),"")</f>
        <v/>
      </c>
      <c r="G15" s="33" t="str">
        <f>IF(E15="", "",+E15*F15)</f>
        <v/>
      </c>
      <c r="H15" s="31" t="str">
        <f>IF(B15="","",VLOOKUP($C$12,kupci!$A:$J,6,FALSE))</f>
        <v/>
      </c>
      <c r="I15" s="41" t="str">
        <f>IF(B15="","",G15*H15/100)</f>
        <v/>
      </c>
      <c r="J15" s="33" t="str">
        <f>IF(B15="", "",+G15-I15)</f>
        <v/>
      </c>
      <c r="K15" s="33" t="str">
        <f>IF(B15="", "",+J15*1.17)</f>
        <v/>
      </c>
    </row>
    <row r="16" spans="1:12">
      <c r="A16" s="31" t="str">
        <f>IF(B16="","","2")</f>
        <v/>
      </c>
      <c r="B16" s="79" t="str">
        <f t="array" ref="B16">IFERROR(INDEX('Za fakturisanje'!$B$1:$B$50,SMALL(IF(ISNUMBER('Za fakturisanje'!$T$1:$T$50),ROW('Za fakturisanje'!$T$1:$T$50)),ROW(E2))),"")</f>
        <v/>
      </c>
      <c r="C16" s="46"/>
      <c r="D16" s="88" t="str">
        <f t="array" ref="D16">IFERROR(INDEX('Za fakturisanje'!$C$1:$C$50,SMALL(IF(ISNUMBER('Za fakturisanje'!$T$1:$T$50),ROW('Za fakturisanje'!$T$1:$T$50)),ROW(E2))),"")</f>
        <v/>
      </c>
      <c r="E16" s="31" t="str">
        <f t="array" ref="E16">IFERROR(INDEX('Za fakturisanje'!$T$1:$T$50,SMALL(IF(ISNUMBER('Za fakturisanje'!$T$1:$T$50),ROW('Za fakturisanje'!$T$1:$T$50)),ROW(E2))),"")</f>
        <v/>
      </c>
      <c r="F16" s="41" t="str">
        <f t="array" ref="F16">IFERROR(INDEX('Za fakturisanje'!$E$1:$E$50,SMALL(IF(ISNUMBER('Za fakturisanje'!$T$1:$T$50),ROW('Za fakturisanje'!$T$1:$T$50)),ROW(E2))),"")</f>
        <v/>
      </c>
      <c r="G16" s="33" t="str">
        <f t="shared" ref="G16:G27" si="0">IF(E16="", "",+E16*F16)</f>
        <v/>
      </c>
      <c r="H16" s="31" t="str">
        <f>IF(B16="","",VLOOKUP($C$12,kupci!$A:$J,6,FALSE))</f>
        <v/>
      </c>
      <c r="I16" s="41" t="str">
        <f t="shared" ref="I16:I27" si="1">IF(B16="","",G16*H16/100)</f>
        <v/>
      </c>
      <c r="J16" s="33" t="str">
        <f t="shared" ref="J16:J27" si="2">IF(B16="", "",+G16-I16)</f>
        <v/>
      </c>
      <c r="K16" s="33" t="str">
        <f t="shared" ref="K16:K27" si="3">IF(B16="", "",+J16*1.17)</f>
        <v/>
      </c>
    </row>
    <row r="17" spans="1:12">
      <c r="A17" s="31" t="str">
        <f>IF(B17="","","3")</f>
        <v/>
      </c>
      <c r="B17" s="79" t="str">
        <f t="array" ref="B17">IFERROR(INDEX('Za fakturisanje'!$B$1:$B$50,SMALL(IF(ISNUMBER('Za fakturisanje'!$T$1:$T$50),ROW('Za fakturisanje'!$T$1:$T$50)),ROW(E3))),"")</f>
        <v/>
      </c>
      <c r="C17" s="46"/>
      <c r="D17" s="88" t="str">
        <f t="array" ref="D17">IFERROR(INDEX('Za fakturisanje'!$C$1:$C$50,SMALL(IF(ISNUMBER('Za fakturisanje'!$T$1:$T$50),ROW('Za fakturisanje'!$T$1:$T$50)),ROW(E3))),"")</f>
        <v/>
      </c>
      <c r="E17" s="31" t="str">
        <f t="array" ref="E17">IFERROR(INDEX('Za fakturisanje'!$T$1:$T$50,SMALL(IF(ISNUMBER('Za fakturisanje'!$T$1:$T$50),ROW('Za fakturisanje'!$T$1:$T$50)),ROW(E3))),"")</f>
        <v/>
      </c>
      <c r="F17" s="41" t="str">
        <f t="array" ref="F17">IFERROR(INDEX('Za fakturisanje'!$E$1:$E$50,SMALL(IF(ISNUMBER('Za fakturisanje'!$T$1:$T$50),ROW('Za fakturisanje'!$T$1:$T$50)),ROW(E3))),"")</f>
        <v/>
      </c>
      <c r="G17" s="33" t="str">
        <f t="shared" si="0"/>
        <v/>
      </c>
      <c r="H17" s="31" t="str">
        <f>IF(B17="","",VLOOKUP($C$12,kupci!$A:$J,6,FALSE))</f>
        <v/>
      </c>
      <c r="I17" s="41" t="str">
        <f t="shared" si="1"/>
        <v/>
      </c>
      <c r="J17" s="33" t="str">
        <f t="shared" si="2"/>
        <v/>
      </c>
      <c r="K17" s="33" t="str">
        <f t="shared" si="3"/>
        <v/>
      </c>
    </row>
    <row r="18" spans="1:12">
      <c r="A18" s="31" t="str">
        <f>IF(B18="","","4")</f>
        <v/>
      </c>
      <c r="B18" s="79" t="str">
        <f t="array" ref="B18">IFERROR(INDEX('Za fakturisanje'!$B$1:$B$50,SMALL(IF(ISNUMBER('Za fakturisanje'!$T$1:$T$50),ROW('Za fakturisanje'!$T$1:$T$50)),ROW(E4))),"")</f>
        <v/>
      </c>
      <c r="C18" s="46"/>
      <c r="D18" s="88" t="str">
        <f t="array" ref="D18">IFERROR(INDEX('Za fakturisanje'!$C$1:$C$50,SMALL(IF(ISNUMBER('Za fakturisanje'!$T$1:$T$50),ROW('Za fakturisanje'!$T$1:$T$50)),ROW(E4))),"")</f>
        <v/>
      </c>
      <c r="E18" s="31" t="str">
        <f t="array" ref="E18">IFERROR(INDEX('Za fakturisanje'!$T$1:$T$50,SMALL(IF(ISNUMBER('Za fakturisanje'!$T$1:$T$50),ROW('Za fakturisanje'!$T$1:$T$50)),ROW(E4))),"")</f>
        <v/>
      </c>
      <c r="F18" s="41" t="str">
        <f t="array" ref="F18">IFERROR(INDEX('Za fakturisanje'!$E$1:$E$50,SMALL(IF(ISNUMBER('Za fakturisanje'!$T$1:$T$50),ROW('Za fakturisanje'!$T$1:$T$50)),ROW(E4))),"")</f>
        <v/>
      </c>
      <c r="G18" s="33" t="str">
        <f t="shared" si="0"/>
        <v/>
      </c>
      <c r="H18" s="31" t="str">
        <f>IF(B18="","",VLOOKUP($C$12,kupci!$A:$J,6,FALSE))</f>
        <v/>
      </c>
      <c r="I18" s="41" t="str">
        <f t="shared" si="1"/>
        <v/>
      </c>
      <c r="J18" s="33" t="str">
        <f t="shared" si="2"/>
        <v/>
      </c>
      <c r="K18" s="33" t="str">
        <f t="shared" si="3"/>
        <v/>
      </c>
    </row>
    <row r="19" spans="1:12">
      <c r="A19" s="31" t="str">
        <f>IF(B19="","","5")</f>
        <v/>
      </c>
      <c r="B19" s="79" t="str">
        <f t="array" ref="B19">IFERROR(INDEX('Za fakturisanje'!$B$1:$B$50,SMALL(IF(ISNUMBER('Za fakturisanje'!$T$1:$T$50),ROW('Za fakturisanje'!$T$1:$T$50)),ROW(E5))),"")</f>
        <v/>
      </c>
      <c r="C19" s="53"/>
      <c r="D19" s="88" t="str">
        <f t="array" ref="D19">IFERROR(INDEX('Za fakturisanje'!$C$1:$C$50,SMALL(IF(ISNUMBER('Za fakturisanje'!$T$1:$T$50),ROW('Za fakturisanje'!$T$1:$T$50)),ROW(E5))),"")</f>
        <v/>
      </c>
      <c r="E19" s="31" t="str">
        <f t="array" ref="E19">IFERROR(INDEX('Za fakturisanje'!$T$1:$T$50,SMALL(IF(ISNUMBER('Za fakturisanje'!$T$1:$T$50),ROW('Za fakturisanje'!$T$1:$T$50)),ROW(E5))),"")</f>
        <v/>
      </c>
      <c r="F19" s="41" t="str">
        <f t="array" ref="F19">IFERROR(INDEX('Za fakturisanje'!$E$1:$E$50,SMALL(IF(ISNUMBER('Za fakturisanje'!$T$1:$T$50),ROW('Za fakturisanje'!$T$1:$T$50)),ROW(E5))),"")</f>
        <v/>
      </c>
      <c r="G19" s="33" t="str">
        <f t="shared" si="0"/>
        <v/>
      </c>
      <c r="H19" s="31" t="str">
        <f>IF(B19="","",VLOOKUP($C$12,kupci!$A:$J,6,FALSE))</f>
        <v/>
      </c>
      <c r="I19" s="41" t="str">
        <f t="shared" si="1"/>
        <v/>
      </c>
      <c r="J19" s="33" t="str">
        <f t="shared" si="2"/>
        <v/>
      </c>
      <c r="K19" s="33" t="str">
        <f t="shared" si="3"/>
        <v/>
      </c>
    </row>
    <row r="20" spans="1:12">
      <c r="A20" s="31" t="str">
        <f>IF(B20="","","6")</f>
        <v/>
      </c>
      <c r="B20" s="79" t="str">
        <f t="array" ref="B20">IFERROR(INDEX('Za fakturisanje'!$B$1:$B$50,SMALL(IF(ISNUMBER('Za fakturisanje'!$T$1:$T$50),ROW('Za fakturisanje'!$T$1:$T$50)),ROW(E6))),"")</f>
        <v/>
      </c>
      <c r="C20" s="48"/>
      <c r="D20" s="88" t="str">
        <f t="array" ref="D20">IFERROR(INDEX('Za fakturisanje'!$C$1:$C$50,SMALL(IF(ISNUMBER('Za fakturisanje'!$T$1:$T$50),ROW('Za fakturisanje'!$T$1:$T$50)),ROW(E6))),"")</f>
        <v/>
      </c>
      <c r="E20" s="31" t="str">
        <f t="array" ref="E20">IFERROR(INDEX('Za fakturisanje'!$T$1:$T$50,SMALL(IF(ISNUMBER('Za fakturisanje'!$T$1:$T$50),ROW('Za fakturisanje'!$T$1:$T$50)),ROW(E6))),"")</f>
        <v/>
      </c>
      <c r="F20" s="41" t="str">
        <f t="array" ref="F20">IFERROR(INDEX('Za fakturisanje'!$E$1:$E$50,SMALL(IF(ISNUMBER('Za fakturisanje'!$T$1:$T$50),ROW('Za fakturisanje'!$T$1:$T$50)),ROW(E6))),"")</f>
        <v/>
      </c>
      <c r="G20" s="33" t="str">
        <f t="shared" si="0"/>
        <v/>
      </c>
      <c r="H20" s="31" t="str">
        <f>IF(B20="","",VLOOKUP($C$12,kupci!$A:$J,6,FALSE))</f>
        <v/>
      </c>
      <c r="I20" s="41" t="str">
        <f t="shared" si="1"/>
        <v/>
      </c>
      <c r="J20" s="33" t="str">
        <f t="shared" si="2"/>
        <v/>
      </c>
      <c r="K20" s="33" t="str">
        <f t="shared" si="3"/>
        <v/>
      </c>
    </row>
    <row r="21" spans="1:12">
      <c r="A21" s="31" t="str">
        <f>IF(B21="","","7")</f>
        <v/>
      </c>
      <c r="B21" s="79" t="str">
        <f t="array" ref="B21">IFERROR(INDEX('Za fakturisanje'!$B$1:$B$50,SMALL(IF(ISNUMBER('Za fakturisanje'!$T$1:$T$50),ROW('Za fakturisanje'!$T$1:$T$50)),ROW(E7))),"")</f>
        <v/>
      </c>
      <c r="C21" s="49"/>
      <c r="D21" s="88" t="str">
        <f t="array" ref="D21">IFERROR(INDEX('Za fakturisanje'!$C$1:$C$50,SMALL(IF(ISNUMBER('Za fakturisanje'!$T$1:$T$50),ROW('Za fakturisanje'!$T$1:$T$50)),ROW(E7))),"")</f>
        <v/>
      </c>
      <c r="E21" s="31" t="str">
        <f t="array" ref="E21">IFERROR(INDEX('Za fakturisanje'!$T$1:$T$50,SMALL(IF(ISNUMBER('Za fakturisanje'!$T$1:$T$50),ROW('Za fakturisanje'!$T$1:$T$50)),ROW(E7))),"")</f>
        <v/>
      </c>
      <c r="F21" s="41" t="str">
        <f t="array" ref="F21">IFERROR(INDEX('Za fakturisanje'!$E$1:$E$50,SMALL(IF(ISNUMBER('Za fakturisanje'!$T$1:$T$50),ROW('Za fakturisanje'!$T$1:$T$50)),ROW(E7))),"")</f>
        <v/>
      </c>
      <c r="G21" s="33" t="str">
        <f t="shared" si="0"/>
        <v/>
      </c>
      <c r="H21" s="31" t="str">
        <f>IF(B21="","",VLOOKUP($C$12,kupci!$A:$J,6,FALSE))</f>
        <v/>
      </c>
      <c r="I21" s="41" t="str">
        <f t="shared" si="1"/>
        <v/>
      </c>
      <c r="J21" s="33" t="str">
        <f t="shared" si="2"/>
        <v/>
      </c>
      <c r="K21" s="33" t="str">
        <f t="shared" si="3"/>
        <v/>
      </c>
    </row>
    <row r="22" spans="1:12">
      <c r="A22" s="31" t="str">
        <f>IF(B22="","","8")</f>
        <v/>
      </c>
      <c r="B22" s="79" t="str">
        <f t="array" ref="B22">IFERROR(INDEX('Za fakturisanje'!$B$1:$B$50,SMALL(IF(ISNUMBER('Za fakturisanje'!$T$1:$T$50),ROW('Za fakturisanje'!$T$1:$T$50)),ROW(E8))),"")</f>
        <v/>
      </c>
      <c r="C22" s="49"/>
      <c r="D22" s="88" t="str">
        <f t="array" ref="D22">IFERROR(INDEX('Za fakturisanje'!$C$1:$C$50,SMALL(IF(ISNUMBER('Za fakturisanje'!$T$1:$T$50),ROW('Za fakturisanje'!$T$1:$T$50)),ROW(E8))),"")</f>
        <v/>
      </c>
      <c r="E22" s="31" t="str">
        <f t="array" ref="E22">IFERROR(INDEX('Za fakturisanje'!$T$1:$T$50,SMALL(IF(ISNUMBER('Za fakturisanje'!$T$1:$T$50),ROW('Za fakturisanje'!$T$1:$T$50)),ROW(E8))),"")</f>
        <v/>
      </c>
      <c r="F22" s="41" t="str">
        <f t="array" ref="F22">IFERROR(INDEX('Za fakturisanje'!$E$1:$E$50,SMALL(IF(ISNUMBER('Za fakturisanje'!$T$1:$T$50),ROW('Za fakturisanje'!$T$1:$T$50)),ROW(E8))),"")</f>
        <v/>
      </c>
      <c r="G22" s="33" t="str">
        <f t="shared" si="0"/>
        <v/>
      </c>
      <c r="H22" s="31" t="str">
        <f>IF(B22="","",VLOOKUP($C$12,kupci!$A:$J,6,FALSE))</f>
        <v/>
      </c>
      <c r="I22" s="41" t="str">
        <f t="shared" si="1"/>
        <v/>
      </c>
      <c r="J22" s="33" t="str">
        <f t="shared" si="2"/>
        <v/>
      </c>
      <c r="K22" s="33" t="str">
        <f t="shared" si="3"/>
        <v/>
      </c>
    </row>
    <row r="23" spans="1:12">
      <c r="A23" s="31" t="str">
        <f>IF(B23="","","9")</f>
        <v/>
      </c>
      <c r="B23" s="79" t="str">
        <f t="array" ref="B23">IFERROR(INDEX('Za fakturisanje'!$B$1:$B$50,SMALL(IF(ISNUMBER('Za fakturisanje'!$T$1:$T$50),ROW('Za fakturisanje'!$T$1:$T$50)),ROW(E9))),"")</f>
        <v/>
      </c>
      <c r="C23" s="51"/>
      <c r="D23" s="88" t="str">
        <f t="array" ref="D23">IFERROR(INDEX('Za fakturisanje'!$C$1:$C$50,SMALL(IF(ISNUMBER('Za fakturisanje'!$T$1:$T$50),ROW('Za fakturisanje'!$T$1:$T$50)),ROW(E9))),"")</f>
        <v/>
      </c>
      <c r="E23" s="31" t="str">
        <f t="array" ref="E23">IFERROR(INDEX('Za fakturisanje'!$T$1:$T$50,SMALL(IF(ISNUMBER('Za fakturisanje'!$T$1:$T$50),ROW('Za fakturisanje'!$T$1:$T$50)),ROW(E9))),"")</f>
        <v/>
      </c>
      <c r="F23" s="41" t="str">
        <f t="array" ref="F23">IFERROR(INDEX('Za fakturisanje'!$E$1:$E$50,SMALL(IF(ISNUMBER('Za fakturisanje'!$T$1:$T$50),ROW('Za fakturisanje'!$T$1:$T$50)),ROW(E9))),"")</f>
        <v/>
      </c>
      <c r="G23" s="33" t="str">
        <f t="shared" si="0"/>
        <v/>
      </c>
      <c r="H23" s="31" t="str">
        <f>IF(B23="","",VLOOKUP($C$12,kupci!$A:$J,6,FALSE))</f>
        <v/>
      </c>
      <c r="I23" s="41" t="str">
        <f t="shared" si="1"/>
        <v/>
      </c>
      <c r="J23" s="33" t="str">
        <f t="shared" si="2"/>
        <v/>
      </c>
      <c r="K23" s="33" t="str">
        <f t="shared" si="3"/>
        <v/>
      </c>
    </row>
    <row r="24" spans="1:12">
      <c r="A24" s="31" t="str">
        <f>IF(B24="","","10")</f>
        <v/>
      </c>
      <c r="B24" s="79" t="str">
        <f t="array" ref="B24">IFERROR(INDEX('Za fakturisanje'!$B$1:$B$50,SMALL(IF(ISNUMBER('Za fakturisanje'!$T$1:$T$50),ROW('Za fakturisanje'!$T$1:$T$50)),ROW(E10))),"")</f>
        <v/>
      </c>
      <c r="C24" s="52"/>
      <c r="D24" s="88" t="str">
        <f t="array" ref="D24">IFERROR(INDEX('Za fakturisanje'!$C$1:$C$50,SMALL(IF(ISNUMBER('Za fakturisanje'!$T$1:$T$50),ROW('Za fakturisanje'!$T$1:$T$50)),ROW(E10))),"")</f>
        <v/>
      </c>
      <c r="E24" s="31" t="str">
        <f t="array" ref="E24">IFERROR(INDEX('Za fakturisanje'!$T$1:$T$50,SMALL(IF(ISNUMBER('Za fakturisanje'!$T$1:$T$50),ROW('Za fakturisanje'!$T$1:$T$50)),ROW(E10))),"")</f>
        <v/>
      </c>
      <c r="F24" s="41" t="str">
        <f t="array" ref="F24">IFERROR(INDEX('Za fakturisanje'!$E$1:$E$50,SMALL(IF(ISNUMBER('Za fakturisanje'!$T$1:$T$50),ROW('Za fakturisanje'!$T$1:$T$50)),ROW(E10))),"")</f>
        <v/>
      </c>
      <c r="G24" s="33" t="str">
        <f t="shared" si="0"/>
        <v/>
      </c>
      <c r="H24" s="31" t="str">
        <f>IF(B24="","",VLOOKUP($C$12,kupci!$A:$J,6,FALSE))</f>
        <v/>
      </c>
      <c r="I24" s="41" t="str">
        <f t="shared" si="1"/>
        <v/>
      </c>
      <c r="J24" s="33" t="str">
        <f t="shared" si="2"/>
        <v/>
      </c>
      <c r="K24" s="33" t="str">
        <f t="shared" si="3"/>
        <v/>
      </c>
    </row>
    <row r="25" spans="1:12">
      <c r="A25" s="31" t="str">
        <f>IF(B25="","","11")</f>
        <v/>
      </c>
      <c r="B25" s="79" t="str">
        <f t="array" ref="B25">IFERROR(INDEX('Za fakturisanje'!$B$1:$B$50,SMALL(IF(ISNUMBER('Za fakturisanje'!$T$1:$T$50),ROW('Za fakturisanje'!$T$1:$T$50)),ROW(E11))),"")</f>
        <v/>
      </c>
      <c r="C25" s="48"/>
      <c r="D25" s="88" t="str">
        <f t="array" ref="D25">IFERROR(INDEX('Za fakturisanje'!$C$1:$C$50,SMALL(IF(ISNUMBER('Za fakturisanje'!$T$1:$T$50),ROW('Za fakturisanje'!$T$1:$T$50)),ROW(E11))),"")</f>
        <v/>
      </c>
      <c r="E25" s="31" t="str">
        <f t="array" ref="E25">IFERROR(INDEX('Za fakturisanje'!$T$1:$T$50,SMALL(IF(ISNUMBER('Za fakturisanje'!$T$1:$T$50),ROW('Za fakturisanje'!$T$1:$T$50)),ROW(E11))),"")</f>
        <v/>
      </c>
      <c r="F25" s="41" t="str">
        <f t="array" ref="F25">IFERROR(INDEX('Za fakturisanje'!$E$1:$E$50,SMALL(IF(ISNUMBER('Za fakturisanje'!$T$1:$T$50),ROW('Za fakturisanje'!$T$1:$T$50)),ROW(E11))),"")</f>
        <v/>
      </c>
      <c r="G25" s="33" t="str">
        <f t="shared" si="0"/>
        <v/>
      </c>
      <c r="H25" s="31" t="str">
        <f>IF(B25="","",VLOOKUP($C$12,kupci!$A:$J,6,FALSE))</f>
        <v/>
      </c>
      <c r="I25" s="41" t="str">
        <f t="shared" si="1"/>
        <v/>
      </c>
      <c r="J25" s="33" t="str">
        <f t="shared" si="2"/>
        <v/>
      </c>
      <c r="K25" s="33" t="str">
        <f t="shared" si="3"/>
        <v/>
      </c>
    </row>
    <row r="26" spans="1:12">
      <c r="A26" s="31" t="str">
        <f>IF(B26="","","12")</f>
        <v/>
      </c>
      <c r="B26" s="79" t="str">
        <f t="array" ref="B26">IFERROR(INDEX('Za fakturisanje'!$B$1:$B$50,SMALL(IF(ISNUMBER('Za fakturisanje'!$T$1:$T$50),ROW('Za fakturisanje'!$T$1:$T$50)),ROW(E12))),"")</f>
        <v/>
      </c>
      <c r="C26" s="49"/>
      <c r="D26" s="88" t="str">
        <f t="array" ref="D26">IFERROR(INDEX('Za fakturisanje'!$C$1:$C$50,SMALL(IF(ISNUMBER('Za fakturisanje'!$T$1:$T$50),ROW('Za fakturisanje'!$T$1:$T$50)),ROW(E12))),"")</f>
        <v/>
      </c>
      <c r="E26" s="31" t="str">
        <f t="array" ref="E26">IFERROR(INDEX('Za fakturisanje'!$T$1:$T$50,SMALL(IF(ISNUMBER('Za fakturisanje'!$T$1:$T$50),ROW('Za fakturisanje'!$T$1:$T$50)),ROW(E12))),"")</f>
        <v/>
      </c>
      <c r="F26" s="41" t="str">
        <f t="array" ref="F26">IFERROR(INDEX('Za fakturisanje'!$E$1:$E$50,SMALL(IF(ISNUMBER('Za fakturisanje'!$T$1:$T$50),ROW('Za fakturisanje'!$T$1:$T$50)),ROW(E12))),"")</f>
        <v/>
      </c>
      <c r="G26" s="33" t="str">
        <f t="shared" si="0"/>
        <v/>
      </c>
      <c r="H26" s="31" t="str">
        <f>IF(B26="","",VLOOKUP($C$12,kupci!$A:$J,6,FALSE))</f>
        <v/>
      </c>
      <c r="I26" s="41" t="str">
        <f t="shared" si="1"/>
        <v/>
      </c>
      <c r="J26" s="33" t="str">
        <f t="shared" si="2"/>
        <v/>
      </c>
      <c r="K26" s="33" t="str">
        <f t="shared" si="3"/>
        <v/>
      </c>
    </row>
    <row r="27" spans="1:12">
      <c r="A27" s="31" t="str">
        <f>IF(B27="","","13")</f>
        <v/>
      </c>
      <c r="B27" s="79" t="str">
        <f t="array" ref="B27">IFERROR(INDEX('Za fakturisanje'!$B$1:$B$50,SMALL(IF(ISNUMBER('Za fakturisanje'!$T$1:$T$50),ROW('Za fakturisanje'!$T$1:$T$50)),ROW(E13))),"")</f>
        <v/>
      </c>
      <c r="C27" s="50"/>
      <c r="D27" s="88" t="str">
        <f t="array" ref="D27">IFERROR(INDEX('Za fakturisanje'!$C$1:$C$50,SMALL(IF(ISNUMBER('Za fakturisanje'!$T$1:$T$50),ROW('Za fakturisanje'!$T$1:$T$50)),ROW(E13))),"")</f>
        <v/>
      </c>
      <c r="E27" s="31" t="str">
        <f t="array" ref="E27">IFERROR(INDEX('Za fakturisanje'!$T$1:$T$50,SMALL(IF(ISNUMBER('Za fakturisanje'!$T$1:$T$50),ROW('Za fakturisanje'!$T$1:$T$50)),ROW(E13))),"")</f>
        <v/>
      </c>
      <c r="F27" s="41" t="str">
        <f t="array" ref="F27">IFERROR(INDEX('Za fakturisanje'!$E$1:$E$50,SMALL(IF(ISNUMBER('Za fakturisanje'!$T$1:$T$50),ROW('Za fakturisanje'!$T$1:$T$50)),ROW(E13))),"")</f>
        <v/>
      </c>
      <c r="G27" s="33" t="str">
        <f t="shared" si="0"/>
        <v/>
      </c>
      <c r="H27" s="31" t="str">
        <f>IF(B27="","",VLOOKUP($C$12,kupci!$A:$J,6,FALSE))</f>
        <v/>
      </c>
      <c r="I27" s="41" t="str">
        <f t="shared" si="1"/>
        <v/>
      </c>
      <c r="J27" s="33" t="str">
        <f t="shared" si="2"/>
        <v/>
      </c>
      <c r="K27" s="33" t="str">
        <f t="shared" si="3"/>
        <v/>
      </c>
    </row>
    <row r="28" spans="1:12">
      <c r="A28" s="31"/>
      <c r="B28" s="196"/>
      <c r="C28" s="197"/>
      <c r="D28" s="32"/>
      <c r="E28" s="36">
        <f>SUM(E15:E27)</f>
        <v>0</v>
      </c>
      <c r="F28" s="34"/>
      <c r="G28" s="33">
        <f>SUM(G15:G27)</f>
        <v>0</v>
      </c>
      <c r="H28" s="36"/>
      <c r="I28" s="34">
        <f>SUM(I15:I27)</f>
        <v>0</v>
      </c>
      <c r="J28" s="34">
        <f>+G28-I28</f>
        <v>0</v>
      </c>
      <c r="K28" s="34">
        <f>+J28*1.17</f>
        <v>0</v>
      </c>
    </row>
    <row r="29" spans="1:12">
      <c r="A29" s="37"/>
      <c r="B29" s="38"/>
      <c r="C29" s="38"/>
      <c r="D29" s="38"/>
      <c r="E29" s="38"/>
      <c r="F29" s="38"/>
      <c r="G29" s="38"/>
      <c r="H29" s="38"/>
      <c r="I29" s="38"/>
      <c r="J29" s="39"/>
      <c r="K29" s="39"/>
    </row>
    <row r="30" spans="1:12">
      <c r="A30" s="37"/>
      <c r="B30" s="38"/>
      <c r="C30" s="38"/>
      <c r="D30" s="38"/>
      <c r="E30" s="38"/>
      <c r="F30" s="38"/>
      <c r="G30" s="78" t="s">
        <v>302</v>
      </c>
      <c r="H30" s="32"/>
      <c r="I30" s="40"/>
      <c r="J30" s="70"/>
      <c r="K30" s="72">
        <f>TRUNC(ROUND(+G28*1,2),2)</f>
        <v>0</v>
      </c>
      <c r="L30" s="74" t="s">
        <v>303</v>
      </c>
    </row>
    <row r="31" spans="1:12">
      <c r="A31" s="37"/>
      <c r="B31" s="38"/>
      <c r="C31" s="38"/>
      <c r="D31" s="38"/>
      <c r="E31" s="38"/>
      <c r="F31" s="38"/>
      <c r="G31" s="79" t="s">
        <v>304</v>
      </c>
      <c r="H31" s="67"/>
      <c r="I31" s="68"/>
      <c r="J31" s="69"/>
      <c r="K31" s="69">
        <f>TRUNC(ROUND(+I28*1,2),2)</f>
        <v>0</v>
      </c>
      <c r="L31" s="75" t="s">
        <v>303</v>
      </c>
    </row>
    <row r="32" spans="1:12">
      <c r="A32" s="37"/>
      <c r="B32" s="38"/>
      <c r="C32" s="38"/>
      <c r="D32" s="38"/>
      <c r="E32" s="38"/>
      <c r="F32" s="38"/>
      <c r="G32" s="78" t="s">
        <v>305</v>
      </c>
      <c r="H32" s="32"/>
      <c r="I32" s="71"/>
      <c r="J32" s="72"/>
      <c r="K32" s="72">
        <f>TRUNC(ROUND(+J28*1,2),2)</f>
        <v>0</v>
      </c>
      <c r="L32" s="74" t="s">
        <v>303</v>
      </c>
    </row>
    <row r="33" spans="1:12">
      <c r="A33" s="37"/>
      <c r="B33" s="38"/>
      <c r="C33" s="38"/>
      <c r="D33" s="38"/>
      <c r="E33" s="38"/>
      <c r="F33" s="38"/>
      <c r="G33" s="79" t="s">
        <v>306</v>
      </c>
      <c r="H33" s="67"/>
      <c r="I33" s="68"/>
      <c r="J33" s="69"/>
      <c r="K33" s="69">
        <f>TRUNC(ROUND(K28-J28,2),2)</f>
        <v>0</v>
      </c>
      <c r="L33" s="75" t="s">
        <v>303</v>
      </c>
    </row>
    <row r="34" spans="1:12" ht="15.6">
      <c r="B34" s="38"/>
      <c r="C34" s="38"/>
      <c r="D34" s="38"/>
      <c r="E34" s="38"/>
      <c r="F34" s="38"/>
      <c r="G34" s="80" t="s">
        <v>307</v>
      </c>
      <c r="H34" s="42"/>
      <c r="I34" s="43"/>
      <c r="J34" s="73"/>
      <c r="K34" s="76">
        <f>TRUNC(ROUND(+K32+K33,2),2)</f>
        <v>0</v>
      </c>
      <c r="L34" s="77" t="s">
        <v>303</v>
      </c>
    </row>
    <row r="43" spans="1:12">
      <c r="B43" s="10" t="s">
        <v>308</v>
      </c>
      <c r="H43" s="10" t="s">
        <v>288</v>
      </c>
    </row>
  </sheetData>
  <sheetProtection sheet="1" objects="1" scenarios="1"/>
  <mergeCells count="10">
    <mergeCell ref="H12:I12"/>
    <mergeCell ref="J12:K12"/>
    <mergeCell ref="B14:C14"/>
    <mergeCell ref="B28:C28"/>
    <mergeCell ref="J1:K1"/>
    <mergeCell ref="J2:K2"/>
    <mergeCell ref="J3:K3"/>
    <mergeCell ref="J4:K4"/>
    <mergeCell ref="H11:I11"/>
    <mergeCell ref="J11:K11"/>
  </mergeCells>
  <pageMargins left="0.62992125984251968" right="0.23622047244094491" top="0.74803149606299213" bottom="0.74803149606299213" header="0.31496062992125984" footer="0.31496062992125984"/>
  <pageSetup paperSize="9" orientation="portrait" horizontalDpi="4294967293" verticalDpi="4294967293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E263-6C36-4D65-A41C-D4C3FBE1ADD5}">
  <sheetPr codeName="Sheet21"/>
  <dimension ref="A1:L43"/>
  <sheetViews>
    <sheetView zoomScaleNormal="100" workbookViewId="0">
      <selection activeCell="Q14" sqref="Q14"/>
    </sheetView>
  </sheetViews>
  <sheetFormatPr defaultRowHeight="14.45"/>
  <cols>
    <col min="1" max="1" width="3.28515625" style="9" customWidth="1"/>
    <col min="2" max="2" width="14.28515625" style="10" customWidth="1"/>
    <col min="3" max="3" width="15.5703125" style="10" customWidth="1"/>
    <col min="4" max="4" width="5.140625" style="10" bestFit="1" customWidth="1"/>
    <col min="5" max="5" width="5.140625" style="10" customWidth="1"/>
    <col min="6" max="6" width="5.5703125" style="10" customWidth="1"/>
    <col min="7" max="7" width="8" style="10" customWidth="1"/>
    <col min="8" max="8" width="3.7109375" style="10" customWidth="1"/>
    <col min="9" max="9" width="5.7109375" style="29" customWidth="1"/>
    <col min="10" max="10" width="7.42578125" style="10" customWidth="1"/>
    <col min="11" max="11" width="10.28515625" style="10" customWidth="1"/>
    <col min="12" max="12" width="3.42578125" style="10" customWidth="1"/>
  </cols>
  <sheetData>
    <row r="1" spans="1:12">
      <c r="G1" s="82" t="s">
        <v>278</v>
      </c>
      <c r="H1" s="82"/>
      <c r="I1" s="11"/>
      <c r="J1" s="204" t="str">
        <f>'Za KIF-a'!E17</f>
        <v/>
      </c>
      <c r="K1" s="204"/>
    </row>
    <row r="2" spans="1:12">
      <c r="G2" s="81" t="s">
        <v>279</v>
      </c>
      <c r="H2" s="81"/>
      <c r="I2" s="11"/>
      <c r="J2" s="194" t="str">
        <f>'Za KIF-a'!D17</f>
        <v/>
      </c>
      <c r="K2" s="194"/>
    </row>
    <row r="3" spans="1:12">
      <c r="G3" s="81" t="s">
        <v>212</v>
      </c>
      <c r="H3" s="81"/>
      <c r="I3" s="13"/>
      <c r="J3" s="195">
        <f ca="1">'Za KIF-a'!L1</f>
        <v>44635</v>
      </c>
      <c r="K3" s="195"/>
    </row>
    <row r="4" spans="1:12">
      <c r="G4" s="81" t="s">
        <v>214</v>
      </c>
      <c r="H4" s="81"/>
      <c r="I4" s="13"/>
      <c r="J4" s="195">
        <f ca="1">'Za KIF-a'!L2</f>
        <v>44636</v>
      </c>
      <c r="K4" s="195"/>
    </row>
    <row r="5" spans="1:12">
      <c r="G5" s="81" t="s">
        <v>280</v>
      </c>
      <c r="H5" s="81"/>
      <c r="I5" s="13"/>
      <c r="J5" s="14" t="str">
        <f>VLOOKUP($C$12,kupci!$A:$J,7,FALSE)</f>
        <v>7 dana</v>
      </c>
      <c r="K5" s="14"/>
    </row>
    <row r="6" spans="1:12">
      <c r="B6" s="15" t="s">
        <v>281</v>
      </c>
      <c r="C6" s="16"/>
      <c r="D6" s="15"/>
      <c r="E6" s="16"/>
      <c r="F6" s="16" t="s">
        <v>282</v>
      </c>
      <c r="G6" s="16"/>
      <c r="H6" s="16"/>
      <c r="I6" s="16"/>
      <c r="J6" s="17"/>
      <c r="K6" s="16"/>
    </row>
    <row r="7" spans="1:12">
      <c r="B7" s="15" t="s">
        <v>283</v>
      </c>
      <c r="C7" s="16"/>
      <c r="D7" s="15"/>
      <c r="E7" s="16"/>
      <c r="F7" s="16" t="s">
        <v>284</v>
      </c>
      <c r="G7" s="16"/>
      <c r="H7" s="16"/>
      <c r="I7" s="16"/>
      <c r="J7" s="17"/>
      <c r="K7" s="16"/>
    </row>
    <row r="8" spans="1:12">
      <c r="B8" s="15" t="s">
        <v>14</v>
      </c>
      <c r="C8" s="16"/>
      <c r="D8" s="15"/>
      <c r="E8" s="16"/>
      <c r="F8" s="15" t="s">
        <v>285</v>
      </c>
      <c r="G8" s="16"/>
      <c r="H8" s="16"/>
      <c r="I8" s="16"/>
      <c r="J8" s="17"/>
      <c r="K8" s="16"/>
    </row>
    <row r="9" spans="1:12">
      <c r="B9" s="18" t="s">
        <v>286</v>
      </c>
      <c r="C9" s="19"/>
      <c r="D9" s="18"/>
      <c r="E9" s="19"/>
      <c r="F9" s="20" t="s">
        <v>287</v>
      </c>
      <c r="G9" s="19"/>
      <c r="H9" s="19"/>
      <c r="I9" s="19"/>
      <c r="J9" s="21"/>
      <c r="K9" s="19"/>
    </row>
    <row r="10" spans="1:12">
      <c r="B10" s="22" t="s">
        <v>288</v>
      </c>
      <c r="C10" s="28" t="str">
        <f>VLOOKUP($C$12,kupci!$A:$J,2,FALSE)</f>
        <v>U.R. BARKA</v>
      </c>
      <c r="D10" s="24"/>
      <c r="E10" s="24"/>
      <c r="F10" s="23"/>
      <c r="G10" s="25"/>
      <c r="H10" s="25"/>
      <c r="I10" s="26"/>
      <c r="J10" s="25"/>
      <c r="K10" s="25"/>
    </row>
    <row r="11" spans="1:12">
      <c r="B11" s="27" t="s">
        <v>289</v>
      </c>
      <c r="C11" s="28" t="str">
        <f>VLOOKUP($C$12,kupci!$A:$J,3,FALSE)</f>
        <v>Istočna Ilidža</v>
      </c>
      <c r="D11" s="28"/>
      <c r="E11" s="28"/>
      <c r="F11" s="28"/>
      <c r="H11" s="200" t="str">
        <f>IF(J11="*", "",  "PDV broj")</f>
        <v>PDV broj</v>
      </c>
      <c r="I11" s="200"/>
      <c r="J11" s="198">
        <f>VLOOKUP($C$12,kupci!$A:$J,4,FALSE)</f>
        <v>501584200000</v>
      </c>
      <c r="K11" s="198"/>
    </row>
    <row r="12" spans="1:12">
      <c r="B12" s="27" t="s">
        <v>290</v>
      </c>
      <c r="C12" s="23" t="str">
        <f>'Za fakturisanje'!U$2</f>
        <v>Aerodromska 29</v>
      </c>
      <c r="D12" s="28"/>
      <c r="E12" s="28"/>
      <c r="F12" s="28"/>
      <c r="H12" s="201" t="str">
        <f>IF(J12="*", "",  "ID broj")</f>
        <v>ID broj</v>
      </c>
      <c r="I12" s="201"/>
      <c r="J12" s="199">
        <f>VLOOKUP($C$12,kupci!$A:$J,5,FALSE)</f>
        <v>4501584200000</v>
      </c>
      <c r="K12" s="199"/>
    </row>
    <row r="13" spans="1:12">
      <c r="C13" s="9"/>
      <c r="D13" s="9"/>
      <c r="K13" s="10" t="s">
        <v>291</v>
      </c>
    </row>
    <row r="14" spans="1:12" s="35" customFormat="1" ht="39.6" customHeight="1">
      <c r="A14" s="54" t="s">
        <v>292</v>
      </c>
      <c r="B14" s="202" t="s">
        <v>293</v>
      </c>
      <c r="C14" s="203"/>
      <c r="D14" s="30" t="s">
        <v>294</v>
      </c>
      <c r="E14" s="55" t="s">
        <v>295</v>
      </c>
      <c r="F14" s="30" t="s">
        <v>296</v>
      </c>
      <c r="G14" s="30" t="s">
        <v>297</v>
      </c>
      <c r="H14" s="61" t="s">
        <v>298</v>
      </c>
      <c r="I14" s="30" t="s">
        <v>299</v>
      </c>
      <c r="J14" s="30" t="s">
        <v>300</v>
      </c>
      <c r="K14" s="30" t="s">
        <v>301</v>
      </c>
      <c r="L14" s="56"/>
    </row>
    <row r="15" spans="1:12">
      <c r="A15" s="31" t="str">
        <f>IF(B15="","","1")</f>
        <v/>
      </c>
      <c r="B15" s="79" t="str">
        <f t="array" ref="B15">IFERROR(INDEX('Za fakturisanje'!$B$1:$B$50,SMALL(IF(ISNUMBER('Za fakturisanje'!$U$1:$U$50),ROW('Za fakturisanje'!$U$1:$U$50)),ROW(E1))),"")</f>
        <v/>
      </c>
      <c r="C15" s="46"/>
      <c r="D15" s="88" t="str">
        <f t="array" ref="D15">IFERROR(INDEX('Za fakturisanje'!$C$1:$C$50,SMALL(IF(ISNUMBER('Za fakturisanje'!$U$1:$U$50),ROW('Za fakturisanje'!$U$1:$U$50)),ROW(E1))),"")</f>
        <v/>
      </c>
      <c r="E15" s="31" t="str">
        <f t="array" ref="E15">IFERROR(INDEX('Za fakturisanje'!$U$1:$U$50,SMALL(IF(ISNUMBER('Za fakturisanje'!$U$1:$U$50),ROW('Za fakturisanje'!$U$1:$U$50)),ROW(E1))),"")</f>
        <v/>
      </c>
      <c r="F15" s="41" t="str">
        <f t="array" ref="F15">IFERROR(INDEX('Za fakturisanje'!$E$1:$E$50,SMALL(IF(ISNUMBER('Za fakturisanje'!$U$1:$U$50),ROW('Za fakturisanje'!$U$1:$U$50)),ROW(E1))),"")</f>
        <v/>
      </c>
      <c r="G15" s="33" t="str">
        <f>IF(E15="", "",+E15*F15)</f>
        <v/>
      </c>
      <c r="H15" s="31" t="str">
        <f>IF(B15="","",VLOOKUP($C$12,kupci!$A:$J,6,FALSE))</f>
        <v/>
      </c>
      <c r="I15" s="41" t="str">
        <f>IF(B15="","",G15*H15/100)</f>
        <v/>
      </c>
      <c r="J15" s="33" t="str">
        <f>IF(B15="", "",+G15-I15)</f>
        <v/>
      </c>
      <c r="K15" s="33" t="str">
        <f>IF(B15="", "",+J15*1.17)</f>
        <v/>
      </c>
    </row>
    <row r="16" spans="1:12">
      <c r="A16" s="31" t="str">
        <f>IF(B16="","","2")</f>
        <v/>
      </c>
      <c r="B16" s="79" t="str">
        <f t="array" ref="B16">IFERROR(INDEX('Za fakturisanje'!$B$1:$B$50,SMALL(IF(ISNUMBER('Za fakturisanje'!$U$1:$U$50),ROW('Za fakturisanje'!$U$1:$U$50)),ROW(E2))),"")</f>
        <v/>
      </c>
      <c r="C16" s="46"/>
      <c r="D16" s="88" t="str">
        <f t="array" ref="D16">IFERROR(INDEX('Za fakturisanje'!$C$1:$C$50,SMALL(IF(ISNUMBER('Za fakturisanje'!$U$1:$U$50),ROW('Za fakturisanje'!$U$1:$U$50)),ROW(E2))),"")</f>
        <v/>
      </c>
      <c r="E16" s="31" t="str">
        <f t="array" ref="E16">IFERROR(INDEX('Za fakturisanje'!$U$1:$U$50,SMALL(IF(ISNUMBER('Za fakturisanje'!$U$1:$U$50),ROW('Za fakturisanje'!$U$1:$U$50)),ROW(E2))),"")</f>
        <v/>
      </c>
      <c r="F16" s="41" t="str">
        <f t="array" ref="F16">IFERROR(INDEX('Za fakturisanje'!$E$1:$E$50,SMALL(IF(ISNUMBER('Za fakturisanje'!$U$1:$U$50),ROW('Za fakturisanje'!$U$1:$U$50)),ROW(E2))),"")</f>
        <v/>
      </c>
      <c r="G16" s="33" t="str">
        <f t="shared" ref="G16:G27" si="0">IF(E16="", "",+E16*F16)</f>
        <v/>
      </c>
      <c r="H16" s="31" t="str">
        <f>IF(B16="","",VLOOKUP($C$12,kupci!$A:$J,6,FALSE))</f>
        <v/>
      </c>
      <c r="I16" s="41" t="str">
        <f t="shared" ref="I16:I27" si="1">IF(B16="","",G16*H16/100)</f>
        <v/>
      </c>
      <c r="J16" s="33" t="str">
        <f t="shared" ref="J16:J27" si="2">IF(B16="", "",+G16-I16)</f>
        <v/>
      </c>
      <c r="K16" s="33" t="str">
        <f t="shared" ref="K16:K27" si="3">IF(B16="", "",+J16*1.17)</f>
        <v/>
      </c>
    </row>
    <row r="17" spans="1:12">
      <c r="A17" s="31" t="str">
        <f>IF(B17="","","3")</f>
        <v/>
      </c>
      <c r="B17" s="79" t="str">
        <f t="array" ref="B17">IFERROR(INDEX('Za fakturisanje'!$B$1:$B$50,SMALL(IF(ISNUMBER('Za fakturisanje'!$U$1:$U$50),ROW('Za fakturisanje'!$U$1:$U$50)),ROW(E3))),"")</f>
        <v/>
      </c>
      <c r="C17" s="46"/>
      <c r="D17" s="88" t="str">
        <f t="array" ref="D17">IFERROR(INDEX('Za fakturisanje'!$C$1:$C$50,SMALL(IF(ISNUMBER('Za fakturisanje'!$U$1:$U$50),ROW('Za fakturisanje'!$U$1:$U$50)),ROW(E3))),"")</f>
        <v/>
      </c>
      <c r="E17" s="31" t="str">
        <f t="array" ref="E17">IFERROR(INDEX('Za fakturisanje'!$U$1:$U$50,SMALL(IF(ISNUMBER('Za fakturisanje'!$U$1:$U$50),ROW('Za fakturisanje'!$U$1:$U$50)),ROW(E3))),"")</f>
        <v/>
      </c>
      <c r="F17" s="41" t="str">
        <f t="array" ref="F17">IFERROR(INDEX('Za fakturisanje'!$E$1:$E$50,SMALL(IF(ISNUMBER('Za fakturisanje'!$U$1:$U$50),ROW('Za fakturisanje'!$U$1:$U$50)),ROW(E3))),"")</f>
        <v/>
      </c>
      <c r="G17" s="33" t="str">
        <f t="shared" si="0"/>
        <v/>
      </c>
      <c r="H17" s="31" t="str">
        <f>IF(B17="","",VLOOKUP($C$12,kupci!$A:$J,6,FALSE))</f>
        <v/>
      </c>
      <c r="I17" s="41" t="str">
        <f t="shared" si="1"/>
        <v/>
      </c>
      <c r="J17" s="33" t="str">
        <f t="shared" si="2"/>
        <v/>
      </c>
      <c r="K17" s="33" t="str">
        <f t="shared" si="3"/>
        <v/>
      </c>
    </row>
    <row r="18" spans="1:12">
      <c r="A18" s="31" t="str">
        <f>IF(B18="","","4")</f>
        <v/>
      </c>
      <c r="B18" s="79" t="str">
        <f t="array" ref="B18">IFERROR(INDEX('Za fakturisanje'!$B$1:$B$50,SMALL(IF(ISNUMBER('Za fakturisanje'!$U$1:$U$50),ROW('Za fakturisanje'!$U$1:$U$50)),ROW(E4))),"")</f>
        <v/>
      </c>
      <c r="C18" s="46"/>
      <c r="D18" s="88" t="str">
        <f t="array" ref="D18">IFERROR(INDEX('Za fakturisanje'!$C$1:$C$50,SMALL(IF(ISNUMBER('Za fakturisanje'!$U$1:$U$50),ROW('Za fakturisanje'!$U$1:$U$50)),ROW(E4))),"")</f>
        <v/>
      </c>
      <c r="E18" s="31" t="str">
        <f t="array" ref="E18">IFERROR(INDEX('Za fakturisanje'!$U$1:$U$50,SMALL(IF(ISNUMBER('Za fakturisanje'!$U$1:$U$50),ROW('Za fakturisanje'!$U$1:$U$50)),ROW(E4))),"")</f>
        <v/>
      </c>
      <c r="F18" s="41" t="str">
        <f t="array" ref="F18">IFERROR(INDEX('Za fakturisanje'!$E$1:$E$50,SMALL(IF(ISNUMBER('Za fakturisanje'!$U$1:$U$50),ROW('Za fakturisanje'!$U$1:$U$50)),ROW(E4))),"")</f>
        <v/>
      </c>
      <c r="G18" s="33" t="str">
        <f t="shared" si="0"/>
        <v/>
      </c>
      <c r="H18" s="31" t="str">
        <f>IF(B18="","",VLOOKUP($C$12,kupci!$A:$J,6,FALSE))</f>
        <v/>
      </c>
      <c r="I18" s="41" t="str">
        <f t="shared" si="1"/>
        <v/>
      </c>
      <c r="J18" s="33" t="str">
        <f t="shared" si="2"/>
        <v/>
      </c>
      <c r="K18" s="33" t="str">
        <f t="shared" si="3"/>
        <v/>
      </c>
    </row>
    <row r="19" spans="1:12">
      <c r="A19" s="31" t="str">
        <f>IF(B19="","","5")</f>
        <v/>
      </c>
      <c r="B19" s="79" t="str">
        <f t="array" ref="B19">IFERROR(INDEX('Za fakturisanje'!$B$1:$B$50,SMALL(IF(ISNUMBER('Za fakturisanje'!$U$1:$U$50),ROW('Za fakturisanje'!$U$1:$U$50)),ROW(E5))),"")</f>
        <v/>
      </c>
      <c r="C19" s="53"/>
      <c r="D19" s="88" t="str">
        <f t="array" ref="D19">IFERROR(INDEX('Za fakturisanje'!$C$1:$C$50,SMALL(IF(ISNUMBER('Za fakturisanje'!$U$1:$U$50),ROW('Za fakturisanje'!$U$1:$U$50)),ROW(E5))),"")</f>
        <v/>
      </c>
      <c r="E19" s="31" t="str">
        <f t="array" ref="E19">IFERROR(INDEX('Za fakturisanje'!$U$1:$U$50,SMALL(IF(ISNUMBER('Za fakturisanje'!$U$1:$U$50),ROW('Za fakturisanje'!$U$1:$U$50)),ROW(E5))),"")</f>
        <v/>
      </c>
      <c r="F19" s="41" t="str">
        <f t="array" ref="F19">IFERROR(INDEX('Za fakturisanje'!$E$1:$E$50,SMALL(IF(ISNUMBER('Za fakturisanje'!$U$1:$U$50),ROW('Za fakturisanje'!$U$1:$U$50)),ROW(E5))),"")</f>
        <v/>
      </c>
      <c r="G19" s="33" t="str">
        <f t="shared" si="0"/>
        <v/>
      </c>
      <c r="H19" s="31" t="str">
        <f>IF(B19="","",VLOOKUP($C$12,kupci!$A:$J,6,FALSE))</f>
        <v/>
      </c>
      <c r="I19" s="41" t="str">
        <f t="shared" si="1"/>
        <v/>
      </c>
      <c r="J19" s="33" t="str">
        <f t="shared" si="2"/>
        <v/>
      </c>
      <c r="K19" s="33" t="str">
        <f t="shared" si="3"/>
        <v/>
      </c>
    </row>
    <row r="20" spans="1:12">
      <c r="A20" s="31" t="str">
        <f>IF(B20="","","6")</f>
        <v/>
      </c>
      <c r="B20" s="79" t="str">
        <f t="array" ref="B20">IFERROR(INDEX('Za fakturisanje'!$B$1:$B$50,SMALL(IF(ISNUMBER('Za fakturisanje'!$U$1:$U$50),ROW('Za fakturisanje'!$U$1:$U$50)),ROW(E6))),"")</f>
        <v/>
      </c>
      <c r="C20" s="48"/>
      <c r="D20" s="88" t="str">
        <f t="array" ref="D20">IFERROR(INDEX('Za fakturisanje'!$C$1:$C$50,SMALL(IF(ISNUMBER('Za fakturisanje'!$U$1:$U$50),ROW('Za fakturisanje'!$U$1:$U$50)),ROW(E6))),"")</f>
        <v/>
      </c>
      <c r="E20" s="31" t="str">
        <f t="array" ref="E20">IFERROR(INDEX('Za fakturisanje'!$U$1:$U$50,SMALL(IF(ISNUMBER('Za fakturisanje'!$U$1:$U$50),ROW('Za fakturisanje'!$U$1:$U$50)),ROW(E6))),"")</f>
        <v/>
      </c>
      <c r="F20" s="41" t="str">
        <f t="array" ref="F20">IFERROR(INDEX('Za fakturisanje'!$E$1:$E$50,SMALL(IF(ISNUMBER('Za fakturisanje'!$U$1:$U$50),ROW('Za fakturisanje'!$U$1:$U$50)),ROW(E6))),"")</f>
        <v/>
      </c>
      <c r="G20" s="33" t="str">
        <f t="shared" si="0"/>
        <v/>
      </c>
      <c r="H20" s="31" t="str">
        <f>IF(B20="","",VLOOKUP($C$12,kupci!$A:$J,6,FALSE))</f>
        <v/>
      </c>
      <c r="I20" s="41" t="str">
        <f t="shared" si="1"/>
        <v/>
      </c>
      <c r="J20" s="33" t="str">
        <f t="shared" si="2"/>
        <v/>
      </c>
      <c r="K20" s="33" t="str">
        <f t="shared" si="3"/>
        <v/>
      </c>
    </row>
    <row r="21" spans="1:12">
      <c r="A21" s="31" t="str">
        <f>IF(B21="","","7")</f>
        <v/>
      </c>
      <c r="B21" s="79" t="str">
        <f t="array" ref="B21">IFERROR(INDEX('Za fakturisanje'!$B$1:$B$50,SMALL(IF(ISNUMBER('Za fakturisanje'!$U$1:$U$50),ROW('Za fakturisanje'!$U$1:$U$50)),ROW(E7))),"")</f>
        <v/>
      </c>
      <c r="C21" s="49"/>
      <c r="D21" s="88" t="str">
        <f t="array" ref="D21">IFERROR(INDEX('Za fakturisanje'!$C$1:$C$50,SMALL(IF(ISNUMBER('Za fakturisanje'!$U$1:$U$50),ROW('Za fakturisanje'!$U$1:$U$50)),ROW(E7))),"")</f>
        <v/>
      </c>
      <c r="E21" s="31" t="str">
        <f t="array" ref="E21">IFERROR(INDEX('Za fakturisanje'!$U$1:$U$50,SMALL(IF(ISNUMBER('Za fakturisanje'!$U$1:$U$50),ROW('Za fakturisanje'!$U$1:$U$50)),ROW(E7))),"")</f>
        <v/>
      </c>
      <c r="F21" s="41" t="str">
        <f t="array" ref="F21">IFERROR(INDEX('Za fakturisanje'!$E$1:$E$50,SMALL(IF(ISNUMBER('Za fakturisanje'!$U$1:$U$50),ROW('Za fakturisanje'!$U$1:$U$50)),ROW(E7))),"")</f>
        <v/>
      </c>
      <c r="G21" s="33" t="str">
        <f t="shared" si="0"/>
        <v/>
      </c>
      <c r="H21" s="31" t="str">
        <f>IF(B21="","",VLOOKUP($C$12,kupci!$A:$J,6,FALSE))</f>
        <v/>
      </c>
      <c r="I21" s="41" t="str">
        <f t="shared" si="1"/>
        <v/>
      </c>
      <c r="J21" s="33" t="str">
        <f t="shared" si="2"/>
        <v/>
      </c>
      <c r="K21" s="33" t="str">
        <f t="shared" si="3"/>
        <v/>
      </c>
    </row>
    <row r="22" spans="1:12">
      <c r="A22" s="31" t="str">
        <f>IF(B22="","","8")</f>
        <v/>
      </c>
      <c r="B22" s="79" t="str">
        <f t="array" ref="B22">IFERROR(INDEX('Za fakturisanje'!$B$1:$B$50,SMALL(IF(ISNUMBER('Za fakturisanje'!$U$1:$U$50),ROW('Za fakturisanje'!$U$1:$U$50)),ROW(E8))),"")</f>
        <v/>
      </c>
      <c r="C22" s="49"/>
      <c r="D22" s="88" t="str">
        <f t="array" ref="D22">IFERROR(INDEX('Za fakturisanje'!$C$1:$C$50,SMALL(IF(ISNUMBER('Za fakturisanje'!$U$1:$U$50),ROW('Za fakturisanje'!$U$1:$U$50)),ROW(E8))),"")</f>
        <v/>
      </c>
      <c r="E22" s="31" t="str">
        <f t="array" ref="E22">IFERROR(INDEX('Za fakturisanje'!$U$1:$U$50,SMALL(IF(ISNUMBER('Za fakturisanje'!$U$1:$U$50),ROW('Za fakturisanje'!$U$1:$U$50)),ROW(E8))),"")</f>
        <v/>
      </c>
      <c r="F22" s="41" t="str">
        <f t="array" ref="F22">IFERROR(INDEX('Za fakturisanje'!$E$1:$E$50,SMALL(IF(ISNUMBER('Za fakturisanje'!$U$1:$U$50),ROW('Za fakturisanje'!$U$1:$U$50)),ROW(E8))),"")</f>
        <v/>
      </c>
      <c r="G22" s="33" t="str">
        <f t="shared" si="0"/>
        <v/>
      </c>
      <c r="H22" s="31" t="str">
        <f>IF(B22="","",VLOOKUP($C$12,kupci!$A:$J,6,FALSE))</f>
        <v/>
      </c>
      <c r="I22" s="41" t="str">
        <f t="shared" si="1"/>
        <v/>
      </c>
      <c r="J22" s="33" t="str">
        <f t="shared" si="2"/>
        <v/>
      </c>
      <c r="K22" s="33" t="str">
        <f t="shared" si="3"/>
        <v/>
      </c>
    </row>
    <row r="23" spans="1:12">
      <c r="A23" s="31" t="str">
        <f>IF(B23="","","9")</f>
        <v/>
      </c>
      <c r="B23" s="79" t="str">
        <f t="array" ref="B23">IFERROR(INDEX('Za fakturisanje'!$B$1:$B$50,SMALL(IF(ISNUMBER('Za fakturisanje'!$U$1:$U$50),ROW('Za fakturisanje'!$U$1:$U$50)),ROW(E9))),"")</f>
        <v/>
      </c>
      <c r="C23" s="51"/>
      <c r="D23" s="88" t="str">
        <f t="array" ref="D23">IFERROR(INDEX('Za fakturisanje'!$C$1:$C$50,SMALL(IF(ISNUMBER('Za fakturisanje'!$U$1:$U$50),ROW('Za fakturisanje'!$U$1:$U$50)),ROW(E9))),"")</f>
        <v/>
      </c>
      <c r="E23" s="31" t="str">
        <f t="array" ref="E23">IFERROR(INDEX('Za fakturisanje'!$F$1:$F$50,SMALL(IF(ISNUMBER('Za fakturisanje'!$H$1:$H$50),ROW('Za fakturisanje'!$H$1:$H$50)),ROW(E9))),"")</f>
        <v/>
      </c>
      <c r="F23" s="41" t="str">
        <f t="array" ref="F23">IFERROR(INDEX('Za fakturisanje'!$E$1:$E$50,SMALL(IF(ISNUMBER('Za fakturisanje'!$U$1:$U$50),ROW('Za fakturisanje'!$U$1:$U$50)),ROW(E9))),"")</f>
        <v/>
      </c>
      <c r="G23" s="33" t="str">
        <f t="shared" si="0"/>
        <v/>
      </c>
      <c r="H23" s="31" t="str">
        <f>IF(B23="","",VLOOKUP($C$12,kupci!$A:$J,6,FALSE))</f>
        <v/>
      </c>
      <c r="I23" s="41" t="str">
        <f t="shared" si="1"/>
        <v/>
      </c>
      <c r="J23" s="33" t="str">
        <f t="shared" si="2"/>
        <v/>
      </c>
      <c r="K23" s="33" t="str">
        <f t="shared" si="3"/>
        <v/>
      </c>
    </row>
    <row r="24" spans="1:12">
      <c r="A24" s="31" t="str">
        <f>IF(B24="","","10")</f>
        <v/>
      </c>
      <c r="B24" s="79" t="str">
        <f t="array" ref="B24">IFERROR(INDEX('Za fakturisanje'!$B$1:$B$50,SMALL(IF(ISNUMBER('Za fakturisanje'!$U$1:$U$50),ROW('Za fakturisanje'!$U$1:$U$50)),ROW(E10))),"")</f>
        <v/>
      </c>
      <c r="C24" s="52"/>
      <c r="D24" s="88" t="str">
        <f t="array" ref="D24">IFERROR(INDEX('Za fakturisanje'!$C$1:$C$50,SMALL(IF(ISNUMBER('Za fakturisanje'!$U$1:$U$50),ROW('Za fakturisanje'!$U$1:$U$50)),ROW(E10))),"")</f>
        <v/>
      </c>
      <c r="E24" s="31" t="str">
        <f t="array" ref="E24">IFERROR(INDEX('Za fakturisanje'!$F$1:$F$50,SMALL(IF(ISNUMBER('Za fakturisanje'!$H$1:$H$50),ROW('Za fakturisanje'!$H$1:$H$50)),ROW(E10))),"")</f>
        <v/>
      </c>
      <c r="F24" s="41" t="str">
        <f t="array" ref="F24">IFERROR(INDEX('Za fakturisanje'!$E$1:$E$50,SMALL(IF(ISNUMBER('Za fakturisanje'!$U$1:$U$50),ROW('Za fakturisanje'!$U$1:$U$50)),ROW(E10))),"")</f>
        <v/>
      </c>
      <c r="G24" s="33" t="str">
        <f t="shared" si="0"/>
        <v/>
      </c>
      <c r="H24" s="31" t="str">
        <f>IF(B24="","",VLOOKUP($C$12,kupci!$A:$J,6,FALSE))</f>
        <v/>
      </c>
      <c r="I24" s="41" t="str">
        <f t="shared" si="1"/>
        <v/>
      </c>
      <c r="J24" s="33" t="str">
        <f t="shared" si="2"/>
        <v/>
      </c>
      <c r="K24" s="33" t="str">
        <f t="shared" si="3"/>
        <v/>
      </c>
    </row>
    <row r="25" spans="1:12">
      <c r="A25" s="31" t="str">
        <f>IF(B25="","","11")</f>
        <v/>
      </c>
      <c r="B25" s="79" t="str">
        <f t="array" ref="B25">IFERROR(INDEX('Za fakturisanje'!$B$1:$B$50,SMALL(IF(ISNUMBER('Za fakturisanje'!$U$1:$U$50),ROW('Za fakturisanje'!$U$1:$U$50)),ROW(E11))),"")</f>
        <v/>
      </c>
      <c r="C25" s="48"/>
      <c r="D25" s="88" t="str">
        <f t="array" ref="D25">IFERROR(INDEX('Za fakturisanje'!$C$1:$C$50,SMALL(IF(ISNUMBER('Za fakturisanje'!$U$1:$U$50),ROW('Za fakturisanje'!$U$1:$U$50)),ROW(E11))),"")</f>
        <v/>
      </c>
      <c r="E25" s="31" t="str">
        <f t="array" ref="E25">IFERROR(INDEX('Za fakturisanje'!$F$1:$F$50,SMALL(IF(ISNUMBER('Za fakturisanje'!$H$1:$H$50),ROW('Za fakturisanje'!$H$1:$H$50)),ROW(E11))),"")</f>
        <v/>
      </c>
      <c r="F25" s="41" t="str">
        <f t="array" ref="F25">IFERROR(INDEX('Za fakturisanje'!$E$1:$E$50,SMALL(IF(ISNUMBER('Za fakturisanje'!$U$1:$U$50),ROW('Za fakturisanje'!$U$1:$U$50)),ROW(E11))),"")</f>
        <v/>
      </c>
      <c r="G25" s="33" t="str">
        <f t="shared" si="0"/>
        <v/>
      </c>
      <c r="H25" s="31" t="str">
        <f>IF(B25="","",VLOOKUP($C$12,kupci!$A:$J,6,FALSE))</f>
        <v/>
      </c>
      <c r="I25" s="41" t="str">
        <f t="shared" si="1"/>
        <v/>
      </c>
      <c r="J25" s="33" t="str">
        <f t="shared" si="2"/>
        <v/>
      </c>
      <c r="K25" s="33" t="str">
        <f t="shared" si="3"/>
        <v/>
      </c>
    </row>
    <row r="26" spans="1:12">
      <c r="A26" s="31" t="str">
        <f>IF(B26="","","12")</f>
        <v/>
      </c>
      <c r="B26" s="79" t="str">
        <f t="array" ref="B26">IFERROR(INDEX('Za fakturisanje'!$B$1:$B$50,SMALL(IF(ISNUMBER('Za fakturisanje'!$U$1:$U$50),ROW('Za fakturisanje'!$U$1:$U$50)),ROW(E12))),"")</f>
        <v/>
      </c>
      <c r="C26" s="49"/>
      <c r="D26" s="88" t="str">
        <f t="array" ref="D26">IFERROR(INDEX('Za fakturisanje'!$C$1:$C$50,SMALL(IF(ISNUMBER('Za fakturisanje'!$U$1:$U$50),ROW('Za fakturisanje'!$U$1:$U$50)),ROW(E12))),"")</f>
        <v/>
      </c>
      <c r="E26" s="31" t="str">
        <f t="array" ref="E26">IFERROR(INDEX('Za fakturisanje'!$F$1:$F$50,SMALL(IF(ISNUMBER('Za fakturisanje'!$H$1:$H$50),ROW('Za fakturisanje'!$H$1:$H$50)),ROW(E12))),"")</f>
        <v/>
      </c>
      <c r="F26" s="41" t="str">
        <f t="array" ref="F26">IFERROR(INDEX('Za fakturisanje'!$E$1:$E$50,SMALL(IF(ISNUMBER('Za fakturisanje'!$U$1:$U$50),ROW('Za fakturisanje'!$U$1:$U$50)),ROW(E12))),"")</f>
        <v/>
      </c>
      <c r="G26" s="33" t="str">
        <f t="shared" si="0"/>
        <v/>
      </c>
      <c r="H26" s="31" t="str">
        <f>IF(B26="","",VLOOKUP($C$12,kupci!$A:$J,6,FALSE))</f>
        <v/>
      </c>
      <c r="I26" s="41" t="str">
        <f t="shared" si="1"/>
        <v/>
      </c>
      <c r="J26" s="33" t="str">
        <f t="shared" si="2"/>
        <v/>
      </c>
      <c r="K26" s="33" t="str">
        <f t="shared" si="3"/>
        <v/>
      </c>
    </row>
    <row r="27" spans="1:12">
      <c r="A27" s="31" t="str">
        <f>IF(B27="","","13")</f>
        <v/>
      </c>
      <c r="B27" s="79" t="str">
        <f t="array" ref="B27">IFERROR(INDEX('Za fakturisanje'!$B$1:$B$50,SMALL(IF(ISNUMBER('Za fakturisanje'!$U$1:$U$50),ROW('Za fakturisanje'!$U$1:$U$50)),ROW(E13))),"")</f>
        <v/>
      </c>
      <c r="C27" s="50"/>
      <c r="D27" s="88" t="str">
        <f t="array" ref="D27">IFERROR(INDEX('Za fakturisanje'!$C$1:$C$50,SMALL(IF(ISNUMBER('Za fakturisanje'!$U$1:$U$50),ROW('Za fakturisanje'!$U$1:$U$50)),ROW(E13))),"")</f>
        <v/>
      </c>
      <c r="E27" s="31" t="str">
        <f t="array" ref="E27">IFERROR(INDEX('Za fakturisanje'!$F$1:$F$50,SMALL(IF(ISNUMBER('Za fakturisanje'!$H$1:$H$50),ROW('Za fakturisanje'!$H$1:$H$50)),ROW(E13))),"")</f>
        <v/>
      </c>
      <c r="F27" s="41" t="str">
        <f t="array" ref="F27">IFERROR(INDEX('Za fakturisanje'!$E$1:$E$50,SMALL(IF(ISNUMBER('Za fakturisanje'!$U$1:$U$50),ROW('Za fakturisanje'!$U$1:$U$50)),ROW(E13))),"")</f>
        <v/>
      </c>
      <c r="G27" s="33" t="str">
        <f t="shared" si="0"/>
        <v/>
      </c>
      <c r="H27" s="31" t="str">
        <f>IF(B27="","",VLOOKUP($C$12,kupci!$A:$J,6,FALSE))</f>
        <v/>
      </c>
      <c r="I27" s="41" t="str">
        <f t="shared" si="1"/>
        <v/>
      </c>
      <c r="J27" s="33" t="str">
        <f t="shared" si="2"/>
        <v/>
      </c>
      <c r="K27" s="33" t="str">
        <f t="shared" si="3"/>
        <v/>
      </c>
    </row>
    <row r="28" spans="1:12">
      <c r="A28" s="31"/>
      <c r="B28" s="196"/>
      <c r="C28" s="197"/>
      <c r="D28" s="32"/>
      <c r="E28" s="36">
        <f>SUM(E15:E27)</f>
        <v>0</v>
      </c>
      <c r="F28" s="34"/>
      <c r="G28" s="33">
        <f>SUM(G15:G27)</f>
        <v>0</v>
      </c>
      <c r="H28" s="36"/>
      <c r="I28" s="34">
        <f>SUM(I15:I27)</f>
        <v>0</v>
      </c>
      <c r="J28" s="34">
        <f>+G28-I28</f>
        <v>0</v>
      </c>
      <c r="K28" s="34">
        <f>+J28*1.17</f>
        <v>0</v>
      </c>
    </row>
    <row r="29" spans="1:12">
      <c r="A29" s="37"/>
      <c r="B29" s="38"/>
      <c r="C29" s="38"/>
      <c r="D29" s="38"/>
      <c r="E29" s="38"/>
      <c r="F29" s="38"/>
      <c r="G29" s="38"/>
      <c r="H29" s="38"/>
      <c r="I29" s="38"/>
      <c r="J29" s="39"/>
      <c r="K29" s="39"/>
    </row>
    <row r="30" spans="1:12">
      <c r="A30" s="37"/>
      <c r="B30" s="38"/>
      <c r="C30" s="38"/>
      <c r="D30" s="38"/>
      <c r="E30" s="38"/>
      <c r="F30" s="38"/>
      <c r="G30" s="78" t="s">
        <v>302</v>
      </c>
      <c r="H30" s="32"/>
      <c r="I30" s="40"/>
      <c r="J30" s="70"/>
      <c r="K30" s="72">
        <f>TRUNC(ROUND(+G28*1,2),2)</f>
        <v>0</v>
      </c>
      <c r="L30" s="74" t="s">
        <v>303</v>
      </c>
    </row>
    <row r="31" spans="1:12">
      <c r="A31" s="37"/>
      <c r="B31" s="38"/>
      <c r="C31" s="38"/>
      <c r="D31" s="38"/>
      <c r="E31" s="38"/>
      <c r="F31" s="38"/>
      <c r="G31" s="79" t="s">
        <v>304</v>
      </c>
      <c r="H31" s="67"/>
      <c r="I31" s="68"/>
      <c r="J31" s="69"/>
      <c r="K31" s="69">
        <f>TRUNC(ROUND(+I28*1,2),2)</f>
        <v>0</v>
      </c>
      <c r="L31" s="75" t="s">
        <v>303</v>
      </c>
    </row>
    <row r="32" spans="1:12">
      <c r="A32" s="37"/>
      <c r="B32" s="38"/>
      <c r="C32" s="38"/>
      <c r="D32" s="38"/>
      <c r="E32" s="38"/>
      <c r="F32" s="38"/>
      <c r="G32" s="78" t="s">
        <v>305</v>
      </c>
      <c r="H32" s="32"/>
      <c r="I32" s="71"/>
      <c r="J32" s="72"/>
      <c r="K32" s="72">
        <f>TRUNC(ROUND(+J28*1,2),2)</f>
        <v>0</v>
      </c>
      <c r="L32" s="74" t="s">
        <v>303</v>
      </c>
    </row>
    <row r="33" spans="1:12">
      <c r="A33" s="37"/>
      <c r="B33" s="38"/>
      <c r="C33" s="38"/>
      <c r="D33" s="38"/>
      <c r="E33" s="38"/>
      <c r="F33" s="38"/>
      <c r="G33" s="79" t="s">
        <v>306</v>
      </c>
      <c r="H33" s="67"/>
      <c r="I33" s="68"/>
      <c r="J33" s="69"/>
      <c r="K33" s="69">
        <f>TRUNC(ROUND(K28-J28,2),2)</f>
        <v>0</v>
      </c>
      <c r="L33" s="75" t="s">
        <v>303</v>
      </c>
    </row>
    <row r="34" spans="1:12" ht="15.6">
      <c r="B34" s="38"/>
      <c r="C34" s="38"/>
      <c r="D34" s="38"/>
      <c r="E34" s="38"/>
      <c r="F34" s="38"/>
      <c r="G34" s="80" t="s">
        <v>307</v>
      </c>
      <c r="H34" s="42"/>
      <c r="I34" s="43"/>
      <c r="J34" s="73"/>
      <c r="K34" s="76">
        <f>TRUNC(ROUND(+K32+K33,2),2)</f>
        <v>0</v>
      </c>
      <c r="L34" s="77" t="s">
        <v>303</v>
      </c>
    </row>
    <row r="43" spans="1:12">
      <c r="B43" s="10" t="s">
        <v>308</v>
      </c>
      <c r="H43" s="10" t="s">
        <v>288</v>
      </c>
    </row>
  </sheetData>
  <sheetProtection sheet="1" objects="1" scenarios="1"/>
  <mergeCells count="10">
    <mergeCell ref="H12:I12"/>
    <mergeCell ref="J12:K12"/>
    <mergeCell ref="B14:C14"/>
    <mergeCell ref="B28:C28"/>
    <mergeCell ref="J1:K1"/>
    <mergeCell ref="J2:K2"/>
    <mergeCell ref="J3:K3"/>
    <mergeCell ref="J4:K4"/>
    <mergeCell ref="H11:I11"/>
    <mergeCell ref="J11:K11"/>
  </mergeCells>
  <pageMargins left="0.62992125984251968" right="0.23622047244094491" top="0.74803149606299213" bottom="0.74803149606299213" header="0.31496062992125984" footer="0.31496062992125984"/>
  <pageSetup paperSize="9" orientation="portrait" horizontalDpi="4294967293" verticalDpi="4294967293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CBCD7-170E-49E4-931A-F57AF8B56266}">
  <sheetPr codeName="Sheet22"/>
  <dimension ref="A1:N43"/>
  <sheetViews>
    <sheetView zoomScale="120" zoomScaleNormal="120" workbookViewId="0">
      <selection activeCell="F6" sqref="F6:K7"/>
    </sheetView>
  </sheetViews>
  <sheetFormatPr defaultRowHeight="14.45"/>
  <cols>
    <col min="1" max="1" width="3.28515625" style="9" customWidth="1"/>
    <col min="2" max="2" width="14.28515625" style="10" customWidth="1"/>
    <col min="3" max="3" width="15.5703125" style="10" customWidth="1"/>
    <col min="4" max="4" width="5.140625" style="10" bestFit="1" customWidth="1"/>
    <col min="5" max="5" width="5.140625" style="10" customWidth="1"/>
    <col min="6" max="6" width="5.5703125" style="10" customWidth="1"/>
    <col min="7" max="7" width="8" style="10" customWidth="1"/>
    <col min="8" max="8" width="3.7109375" style="10" customWidth="1"/>
    <col min="9" max="9" width="5.7109375" style="29" customWidth="1"/>
    <col min="10" max="10" width="7.42578125" style="10" customWidth="1"/>
    <col min="11" max="11" width="10.28515625" style="10" customWidth="1"/>
    <col min="12" max="12" width="3.42578125" style="10" customWidth="1"/>
    <col min="13" max="13" width="8.85546875" style="12"/>
  </cols>
  <sheetData>
    <row r="1" spans="1:14">
      <c r="G1" s="82" t="s">
        <v>278</v>
      </c>
      <c r="H1" s="82"/>
      <c r="I1" s="11"/>
      <c r="J1" s="204" t="str">
        <f>'Za KIF-a'!E18</f>
        <v/>
      </c>
      <c r="K1" s="204"/>
      <c r="M1" s="194"/>
      <c r="N1" s="194"/>
    </row>
    <row r="2" spans="1:14">
      <c r="G2" s="81" t="s">
        <v>279</v>
      </c>
      <c r="H2" s="81"/>
      <c r="I2" s="11"/>
      <c r="J2" s="194" t="str">
        <f>'Za KIF-a'!D18</f>
        <v/>
      </c>
      <c r="K2" s="194"/>
    </row>
    <row r="3" spans="1:14">
      <c r="G3" s="81" t="s">
        <v>212</v>
      </c>
      <c r="H3" s="81"/>
      <c r="I3" s="13"/>
      <c r="J3" s="195">
        <f ca="1">'Za KIF-a'!L1</f>
        <v>44635</v>
      </c>
      <c r="K3" s="195"/>
      <c r="N3" s="83"/>
    </row>
    <row r="4" spans="1:14">
      <c r="G4" s="81" t="s">
        <v>214</v>
      </c>
      <c r="H4" s="81"/>
      <c r="I4" s="13"/>
      <c r="J4" s="195">
        <f ca="1">'Za KIF-a'!L2</f>
        <v>44636</v>
      </c>
      <c r="K4" s="195"/>
    </row>
    <row r="5" spans="1:14">
      <c r="G5" s="81" t="s">
        <v>280</v>
      </c>
      <c r="H5" s="81"/>
      <c r="I5" s="13"/>
      <c r="J5" s="14" t="e">
        <f>VLOOKUP($C$12,kupci!$A:$J,7,FALSE)</f>
        <v>#N/A</v>
      </c>
      <c r="K5" s="14"/>
    </row>
    <row r="6" spans="1:14">
      <c r="B6" s="15" t="s">
        <v>281</v>
      </c>
      <c r="C6" s="16"/>
      <c r="D6" s="15"/>
      <c r="E6" s="16"/>
      <c r="F6" s="16" t="s">
        <v>282</v>
      </c>
      <c r="G6" s="16"/>
      <c r="H6" s="16"/>
      <c r="I6" s="16"/>
      <c r="J6" s="17"/>
      <c r="K6" s="16"/>
    </row>
    <row r="7" spans="1:14">
      <c r="B7" s="15" t="s">
        <v>283</v>
      </c>
      <c r="C7" s="16"/>
      <c r="D7" s="15"/>
      <c r="E7" s="16"/>
      <c r="F7" s="16" t="s">
        <v>284</v>
      </c>
      <c r="G7" s="16"/>
      <c r="H7" s="16"/>
      <c r="I7" s="16"/>
      <c r="J7" s="17"/>
      <c r="K7" s="16"/>
    </row>
    <row r="8" spans="1:14">
      <c r="B8" s="15" t="s">
        <v>14</v>
      </c>
      <c r="C8" s="16"/>
      <c r="D8" s="15"/>
      <c r="E8" s="16"/>
      <c r="F8" s="15" t="s">
        <v>285</v>
      </c>
      <c r="G8" s="16"/>
      <c r="H8" s="16"/>
      <c r="I8" s="16"/>
      <c r="J8" s="17"/>
      <c r="K8" s="16"/>
    </row>
    <row r="9" spans="1:14">
      <c r="B9" s="18" t="s">
        <v>286</v>
      </c>
      <c r="C9" s="19"/>
      <c r="D9" s="18"/>
      <c r="E9" s="19"/>
      <c r="F9" s="20" t="s">
        <v>287</v>
      </c>
      <c r="G9" s="19"/>
      <c r="H9" s="19"/>
      <c r="I9" s="19"/>
      <c r="J9" s="21"/>
      <c r="K9" s="19"/>
    </row>
    <row r="10" spans="1:14">
      <c r="B10" s="22" t="s">
        <v>288</v>
      </c>
      <c r="C10" s="28" t="e">
        <f>VLOOKUP($C$12,kupci!$A:$J,2,FALSE)</f>
        <v>#N/A</v>
      </c>
      <c r="D10" s="24"/>
      <c r="E10" s="24"/>
      <c r="F10" s="23"/>
      <c r="G10" s="25"/>
      <c r="H10" s="25"/>
      <c r="I10" s="26"/>
      <c r="J10" s="25"/>
      <c r="K10" s="25"/>
    </row>
    <row r="11" spans="1:14">
      <c r="B11" s="27" t="s">
        <v>289</v>
      </c>
      <c r="C11" s="28" t="e">
        <f>VLOOKUP($C$12,kupci!$A:$J,3,FALSE)</f>
        <v>#N/A</v>
      </c>
      <c r="D11" s="28"/>
      <c r="E11" s="28"/>
      <c r="F11" s="28"/>
      <c r="H11" s="200" t="e">
        <f>IF(J11="*", "",  "PDV broj")</f>
        <v>#N/A</v>
      </c>
      <c r="I11" s="200"/>
      <c r="J11" s="198" t="e">
        <f>VLOOKUP($C$12,kupci!$A:$J,4,FALSE)</f>
        <v>#N/A</v>
      </c>
      <c r="K11" s="198"/>
    </row>
    <row r="12" spans="1:14">
      <c r="B12" s="27" t="s">
        <v>290</v>
      </c>
      <c r="C12" s="23">
        <f>'Za fakturisanje'!V$2</f>
        <v>0</v>
      </c>
      <c r="D12" s="28"/>
      <c r="E12" s="28"/>
      <c r="F12" s="28"/>
      <c r="H12" s="201" t="e">
        <f>IF(J12="*", "",  "ID broj")</f>
        <v>#N/A</v>
      </c>
      <c r="I12" s="201"/>
      <c r="J12" s="199" t="e">
        <f>VLOOKUP($C$12,kupci!$A:$J,5,FALSE)</f>
        <v>#N/A</v>
      </c>
      <c r="K12" s="199"/>
    </row>
    <row r="13" spans="1:14">
      <c r="C13" s="9"/>
      <c r="D13" s="9"/>
      <c r="K13" s="10" t="s">
        <v>291</v>
      </c>
    </row>
    <row r="14" spans="1:14" s="35" customFormat="1" ht="39.6" customHeight="1">
      <c r="A14" s="54" t="s">
        <v>292</v>
      </c>
      <c r="B14" s="202" t="s">
        <v>293</v>
      </c>
      <c r="C14" s="203"/>
      <c r="D14" s="30" t="s">
        <v>294</v>
      </c>
      <c r="E14" s="55" t="s">
        <v>295</v>
      </c>
      <c r="F14" s="30" t="s">
        <v>296</v>
      </c>
      <c r="G14" s="30" t="s">
        <v>297</v>
      </c>
      <c r="H14" s="61" t="s">
        <v>298</v>
      </c>
      <c r="I14" s="30" t="s">
        <v>299</v>
      </c>
      <c r="J14" s="30" t="s">
        <v>300</v>
      </c>
      <c r="K14" s="30" t="s">
        <v>301</v>
      </c>
      <c r="L14" s="56"/>
      <c r="M14" s="57"/>
    </row>
    <row r="15" spans="1:14">
      <c r="A15" s="31" t="str">
        <f>IF(B15="","","1")</f>
        <v/>
      </c>
      <c r="B15" s="79" t="str">
        <f t="array" ref="B15">IFERROR(INDEX('Za fakturisanje'!$B$1:$B$50,SMALL(IF(ISNUMBER('Za fakturisanje'!$V$1:$V$50),ROW('Za fakturisanje'!$V$1:$V$50)),ROW(E1))),"")</f>
        <v/>
      </c>
      <c r="C15" s="46"/>
      <c r="D15" s="88" t="str">
        <f t="array" ref="D15">IFERROR(INDEX('Za fakturisanje'!$C$1:$C$50,SMALL(IF(ISNUMBER('Za fakturisanje'!$V$1:$V$50),ROW('Za fakturisanje'!$V$1:$V$50)),ROW(E1))),"")</f>
        <v/>
      </c>
      <c r="E15" s="31" t="str">
        <f t="array" ref="E15">IFERROR(INDEX('Za fakturisanje'!$V$1:$V$50,SMALL(IF(ISNUMBER('Za fakturisanje'!$V$1:$V$50),ROW('Za fakturisanje'!$V$1:$V$50)),ROW(E1))),"")</f>
        <v/>
      </c>
      <c r="F15" s="41" t="str">
        <f t="array" ref="F15">IFERROR(INDEX('Za fakturisanje'!$E$1:$E$50,SMALL(IF(ISNUMBER('Za fakturisanje'!$V$1:$V$50),ROW('Za fakturisanje'!$V$1:$V$50)),ROW(E1))),"")</f>
        <v/>
      </c>
      <c r="G15" s="33" t="str">
        <f>IF(E15="", "",+E15*F15)</f>
        <v/>
      </c>
      <c r="H15" s="31" t="str">
        <f>IF(B15="","",VLOOKUP($C$12,kupci!$A:$J,6,FALSE))</f>
        <v/>
      </c>
      <c r="I15" s="41" t="str">
        <f>IF(B15="","",G15*H15/100)</f>
        <v/>
      </c>
      <c r="J15" s="33" t="str">
        <f>IF(B15="", "",+G15-I15)</f>
        <v/>
      </c>
      <c r="K15" s="33" t="str">
        <f>IF(B15="", "",+J15*1.17)</f>
        <v/>
      </c>
    </row>
    <row r="16" spans="1:14">
      <c r="A16" s="31" t="str">
        <f>IF(B16="","","2")</f>
        <v/>
      </c>
      <c r="B16" s="79" t="str">
        <f t="array" ref="B16">IFERROR(INDEX('Za fakturisanje'!$B$1:$B$50,SMALL(IF(ISNUMBER('Za fakturisanje'!$V$1:$V$50),ROW('Za fakturisanje'!$V$1:$V$50)),ROW(E2))),"")</f>
        <v/>
      </c>
      <c r="C16" s="46"/>
      <c r="D16" s="88" t="str">
        <f t="array" ref="D16">IFERROR(INDEX('Za fakturisanje'!$C$1:$C$50,SMALL(IF(ISNUMBER('Za fakturisanje'!$V$1:$V$50),ROW('Za fakturisanje'!$V$1:$V$50)),ROW(E2))),"")</f>
        <v/>
      </c>
      <c r="E16" s="31" t="str">
        <f t="array" ref="E16">IFERROR(INDEX('Za fakturisanje'!$V$1:$V$50,SMALL(IF(ISNUMBER('Za fakturisanje'!$V$1:$V$50),ROW('Za fakturisanje'!$V$1:$V$50)),ROW(E2))),"")</f>
        <v/>
      </c>
      <c r="F16" s="41" t="str">
        <f t="array" ref="F16">IFERROR(INDEX('Za fakturisanje'!$E$1:$E$50,SMALL(IF(ISNUMBER('Za fakturisanje'!$V$1:$V$50),ROW('Za fakturisanje'!$V$1:$V$50)),ROW(E2))),"")</f>
        <v/>
      </c>
      <c r="G16" s="33" t="str">
        <f t="shared" ref="G16:G27" si="0">IF(E16="", "",+E16*F16)</f>
        <v/>
      </c>
      <c r="H16" s="31" t="str">
        <f>IF(B16="","",VLOOKUP($C$12,kupci!$A:$J,6,FALSE))</f>
        <v/>
      </c>
      <c r="I16" s="41" t="str">
        <f t="shared" ref="I16:I27" si="1">IF(B16="","",G16*H16/100)</f>
        <v/>
      </c>
      <c r="J16" s="33" t="str">
        <f t="shared" ref="J16:J27" si="2">IF(B16="", "",+G16-I16)</f>
        <v/>
      </c>
      <c r="K16" s="33" t="str">
        <f t="shared" ref="K16:K27" si="3">IF(B16="", "",+J16*1.17)</f>
        <v/>
      </c>
    </row>
    <row r="17" spans="1:12">
      <c r="A17" s="31" t="str">
        <f>IF(B17="","","3")</f>
        <v/>
      </c>
      <c r="B17" s="79" t="str">
        <f t="array" ref="B17">IFERROR(INDEX('Za fakturisanje'!$B$1:$B$50,SMALL(IF(ISNUMBER('Za fakturisanje'!$V$1:$V$50),ROW('Za fakturisanje'!$V$1:$V$50)),ROW(E3))),"")</f>
        <v/>
      </c>
      <c r="C17" s="46"/>
      <c r="D17" s="88" t="str">
        <f t="array" ref="D17">IFERROR(INDEX('Za fakturisanje'!$C$1:$C$50,SMALL(IF(ISNUMBER('Za fakturisanje'!$V$1:$V$50),ROW('Za fakturisanje'!$V$1:$V$50)),ROW(E3))),"")</f>
        <v/>
      </c>
      <c r="E17" s="31" t="str">
        <f t="array" ref="E17">IFERROR(INDEX('Za fakturisanje'!$V$1:$V$50,SMALL(IF(ISNUMBER('Za fakturisanje'!$V$1:$V$50),ROW('Za fakturisanje'!$V$1:$V$50)),ROW(E3))),"")</f>
        <v/>
      </c>
      <c r="F17" s="41" t="str">
        <f t="array" ref="F17">IFERROR(INDEX('Za fakturisanje'!$E$1:$E$50,SMALL(IF(ISNUMBER('Za fakturisanje'!$V$1:$V$50),ROW('Za fakturisanje'!$V$1:$V$50)),ROW(E3))),"")</f>
        <v/>
      </c>
      <c r="G17" s="33" t="str">
        <f t="shared" si="0"/>
        <v/>
      </c>
      <c r="H17" s="31" t="str">
        <f>IF(B17="","",VLOOKUP($C$12,kupci!$A:$J,6,FALSE))</f>
        <v/>
      </c>
      <c r="I17" s="41" t="str">
        <f t="shared" si="1"/>
        <v/>
      </c>
      <c r="J17" s="33" t="str">
        <f t="shared" si="2"/>
        <v/>
      </c>
      <c r="K17" s="33" t="str">
        <f t="shared" si="3"/>
        <v/>
      </c>
    </row>
    <row r="18" spans="1:12">
      <c r="A18" s="31" t="str">
        <f>IF(B18="","","4")</f>
        <v/>
      </c>
      <c r="B18" s="79" t="str">
        <f t="array" ref="B18">IFERROR(INDEX('Za fakturisanje'!$B$1:$B$50,SMALL(IF(ISNUMBER('Za fakturisanje'!$V$1:$V$50),ROW('Za fakturisanje'!$V$1:$V$50)),ROW(E4))),"")</f>
        <v/>
      </c>
      <c r="C18" s="46"/>
      <c r="D18" s="88" t="str">
        <f t="array" ref="D18">IFERROR(INDEX('Za fakturisanje'!$C$1:$C$50,SMALL(IF(ISNUMBER('Za fakturisanje'!$V$1:$V$50),ROW('Za fakturisanje'!$V$1:$V$50)),ROW(E4))),"")</f>
        <v/>
      </c>
      <c r="E18" s="31" t="str">
        <f t="array" ref="E18">IFERROR(INDEX('Za fakturisanje'!$V$1:$V$50,SMALL(IF(ISNUMBER('Za fakturisanje'!$V$1:$V$50),ROW('Za fakturisanje'!$V$1:$V$50)),ROW(E4))),"")</f>
        <v/>
      </c>
      <c r="F18" s="41" t="str">
        <f t="array" ref="F18">IFERROR(INDEX('Za fakturisanje'!$E$1:$E$50,SMALL(IF(ISNUMBER('Za fakturisanje'!$V$1:$V$50),ROW('Za fakturisanje'!$V$1:$V$50)),ROW(E4))),"")</f>
        <v/>
      </c>
      <c r="G18" s="33" t="str">
        <f t="shared" si="0"/>
        <v/>
      </c>
      <c r="H18" s="31" t="str">
        <f>IF(B18="","",VLOOKUP($C$12,kupci!$A:$J,6,FALSE))</f>
        <v/>
      </c>
      <c r="I18" s="41" t="str">
        <f t="shared" si="1"/>
        <v/>
      </c>
      <c r="J18" s="33" t="str">
        <f t="shared" si="2"/>
        <v/>
      </c>
      <c r="K18" s="33" t="str">
        <f t="shared" si="3"/>
        <v/>
      </c>
    </row>
    <row r="19" spans="1:12">
      <c r="A19" s="31" t="str">
        <f>IF(B19="","","5")</f>
        <v/>
      </c>
      <c r="B19" s="79" t="str">
        <f t="array" ref="B19">IFERROR(INDEX('Za fakturisanje'!$B$1:$B$50,SMALL(IF(ISNUMBER('Za fakturisanje'!$V$1:$V$50),ROW('Za fakturisanje'!$V$1:$V$50)),ROW(E5))),"")</f>
        <v/>
      </c>
      <c r="C19" s="53"/>
      <c r="D19" s="88" t="str">
        <f t="array" ref="D19">IFERROR(INDEX('Za fakturisanje'!$C$1:$C$50,SMALL(IF(ISNUMBER('Za fakturisanje'!$V$1:$V$50),ROW('Za fakturisanje'!$V$1:$V$50)),ROW(E5))),"")</f>
        <v/>
      </c>
      <c r="E19" s="31" t="str">
        <f t="array" ref="E19">IFERROR(INDEX('Za fakturisanje'!$V$1:$V$50,SMALL(IF(ISNUMBER('Za fakturisanje'!$V$1:$V$50),ROW('Za fakturisanje'!$V$1:$V$50)),ROW(E5))),"")</f>
        <v/>
      </c>
      <c r="F19" s="41" t="str">
        <f t="array" ref="F19">IFERROR(INDEX('Za fakturisanje'!$E$1:$E$50,SMALL(IF(ISNUMBER('Za fakturisanje'!$V$1:$V$50),ROW('Za fakturisanje'!$V$1:$V$50)),ROW(E5))),"")</f>
        <v/>
      </c>
      <c r="G19" s="33" t="str">
        <f t="shared" si="0"/>
        <v/>
      </c>
      <c r="H19" s="31" t="str">
        <f>IF(B19="","",VLOOKUP($C$12,kupci!$A:$J,6,FALSE))</f>
        <v/>
      </c>
      <c r="I19" s="41" t="str">
        <f t="shared" si="1"/>
        <v/>
      </c>
      <c r="J19" s="33" t="str">
        <f t="shared" si="2"/>
        <v/>
      </c>
      <c r="K19" s="33" t="str">
        <f t="shared" si="3"/>
        <v/>
      </c>
    </row>
    <row r="20" spans="1:12">
      <c r="A20" s="31" t="str">
        <f>IF(B20="","","6")</f>
        <v/>
      </c>
      <c r="B20" s="79" t="str">
        <f t="array" ref="B20">IFERROR(INDEX('Za fakturisanje'!$B$1:$B$50,SMALL(IF(ISNUMBER('Za fakturisanje'!$V$1:$V$50),ROW('Za fakturisanje'!$V$1:$V$50)),ROW(E6))),"")</f>
        <v/>
      </c>
      <c r="C20" s="48"/>
      <c r="D20" s="88" t="str">
        <f t="array" ref="D20">IFERROR(INDEX('Za fakturisanje'!$C$1:$C$50,SMALL(IF(ISNUMBER('Za fakturisanje'!$V$1:$V$50),ROW('Za fakturisanje'!$V$1:$V$50)),ROW(E6))),"")</f>
        <v/>
      </c>
      <c r="E20" s="31" t="str">
        <f t="array" ref="E20">IFERROR(INDEX('Za fakturisanje'!$V$1:$V$50,SMALL(IF(ISNUMBER('Za fakturisanje'!$V$1:$V$50),ROW('Za fakturisanje'!$V$1:$V$50)),ROW(E6))),"")</f>
        <v/>
      </c>
      <c r="F20" s="41" t="str">
        <f t="array" ref="F20">IFERROR(INDEX('Za fakturisanje'!$E$1:$E$50,SMALL(IF(ISNUMBER('Za fakturisanje'!$V$1:$V$50),ROW('Za fakturisanje'!$V$1:$V$50)),ROW(E6))),"")</f>
        <v/>
      </c>
      <c r="G20" s="33" t="str">
        <f t="shared" si="0"/>
        <v/>
      </c>
      <c r="H20" s="31" t="str">
        <f>IF(B20="","",VLOOKUP($C$12,kupci!$A:$J,6,FALSE))</f>
        <v/>
      </c>
      <c r="I20" s="41" t="str">
        <f t="shared" si="1"/>
        <v/>
      </c>
      <c r="J20" s="33" t="str">
        <f t="shared" si="2"/>
        <v/>
      </c>
      <c r="K20" s="33" t="str">
        <f t="shared" si="3"/>
        <v/>
      </c>
    </row>
    <row r="21" spans="1:12">
      <c r="A21" s="31" t="str">
        <f>IF(B21="","","7")</f>
        <v/>
      </c>
      <c r="B21" s="79" t="str">
        <f t="array" ref="B21">IFERROR(INDEX('Za fakturisanje'!$B$1:$B$50,SMALL(IF(ISNUMBER('Za fakturisanje'!$V$1:$V$50),ROW('Za fakturisanje'!$V$1:$V$50)),ROW(E7))),"")</f>
        <v/>
      </c>
      <c r="C21" s="49"/>
      <c r="D21" s="88" t="str">
        <f t="array" ref="D21">IFERROR(INDEX('Za fakturisanje'!$C$1:$C$50,SMALL(IF(ISNUMBER('Za fakturisanje'!$V$1:$V$50),ROW('Za fakturisanje'!$V$1:$V$50)),ROW(E7))),"")</f>
        <v/>
      </c>
      <c r="E21" s="31" t="str">
        <f t="array" ref="E21">IFERROR(INDEX('Za fakturisanje'!$V$1:$V$50,SMALL(IF(ISNUMBER('Za fakturisanje'!$V$1:$V$50),ROW('Za fakturisanje'!$V$1:$V$50)),ROW(E7))),"")</f>
        <v/>
      </c>
      <c r="F21" s="41" t="str">
        <f t="array" ref="F21">IFERROR(INDEX('Za fakturisanje'!$E$1:$E$50,SMALL(IF(ISNUMBER('Za fakturisanje'!$V$1:$V$50),ROW('Za fakturisanje'!$V$1:$V$50)),ROW(E7))),"")</f>
        <v/>
      </c>
      <c r="G21" s="33" t="str">
        <f t="shared" si="0"/>
        <v/>
      </c>
      <c r="H21" s="31" t="str">
        <f>IF(B21="","",VLOOKUP($C$12,kupci!$A:$J,6,FALSE))</f>
        <v/>
      </c>
      <c r="I21" s="41" t="str">
        <f t="shared" si="1"/>
        <v/>
      </c>
      <c r="J21" s="33" t="str">
        <f t="shared" si="2"/>
        <v/>
      </c>
      <c r="K21" s="33" t="str">
        <f t="shared" si="3"/>
        <v/>
      </c>
    </row>
    <row r="22" spans="1:12">
      <c r="A22" s="31" t="str">
        <f>IF(B22="","","8")</f>
        <v/>
      </c>
      <c r="B22" s="79" t="str">
        <f t="array" ref="B22">IFERROR(INDEX('Za fakturisanje'!$B$1:$B$50,SMALL(IF(ISNUMBER('Za fakturisanje'!$V$1:$V$50),ROW('Za fakturisanje'!$V$1:$V$50)),ROW(E8))),"")</f>
        <v/>
      </c>
      <c r="C22" s="49"/>
      <c r="D22" s="88" t="str">
        <f t="array" ref="D22">IFERROR(INDEX('Za fakturisanje'!$C$1:$C$50,SMALL(IF(ISNUMBER('Za fakturisanje'!$V$1:$V$50),ROW('Za fakturisanje'!$V$1:$V$50)),ROW(E8))),"")</f>
        <v/>
      </c>
      <c r="E22" s="31" t="str">
        <f t="array" ref="E22">IFERROR(INDEX('Za fakturisanje'!$V$1:$V$50,SMALL(IF(ISNUMBER('Za fakturisanje'!$V$1:$V$50),ROW('Za fakturisanje'!$V$1:$V$50)),ROW(E8))),"")</f>
        <v/>
      </c>
      <c r="F22" s="41" t="str">
        <f t="array" ref="F22">IFERROR(INDEX('Za fakturisanje'!$E$1:$E$50,SMALL(IF(ISNUMBER('Za fakturisanje'!$V$1:$V$50),ROW('Za fakturisanje'!$V$1:$V$50)),ROW(E8))),"")</f>
        <v/>
      </c>
      <c r="G22" s="33" t="str">
        <f t="shared" si="0"/>
        <v/>
      </c>
      <c r="H22" s="31" t="str">
        <f>IF(B22="","",VLOOKUP($C$12,kupci!$A:$J,6,FALSE))</f>
        <v/>
      </c>
      <c r="I22" s="41" t="str">
        <f t="shared" si="1"/>
        <v/>
      </c>
      <c r="J22" s="33" t="str">
        <f t="shared" si="2"/>
        <v/>
      </c>
      <c r="K22" s="33" t="str">
        <f t="shared" si="3"/>
        <v/>
      </c>
    </row>
    <row r="23" spans="1:12">
      <c r="A23" s="31" t="str">
        <f>IF(B23="","","9")</f>
        <v/>
      </c>
      <c r="B23" s="79" t="str">
        <f t="array" ref="B23">IFERROR(INDEX('Za fakturisanje'!$B$1:$B$50,SMALL(IF(ISNUMBER('Za fakturisanje'!$V$1:$V$50),ROW('Za fakturisanje'!$V$1:$V$50)),ROW(E9))),"")</f>
        <v/>
      </c>
      <c r="C23" s="51"/>
      <c r="D23" s="88" t="str">
        <f t="array" ref="D23">IFERROR(INDEX('Za fakturisanje'!$C$1:$C$50,SMALL(IF(ISNUMBER('Za fakturisanje'!$V$1:$V$50),ROW('Za fakturisanje'!$V$1:$V$50)),ROW(E9))),"")</f>
        <v/>
      </c>
      <c r="E23" s="31" t="str">
        <f t="array" ref="E23">IFERROR(INDEX('Za fakturisanje'!$V$1:$V$50,SMALL(IF(ISNUMBER('Za fakturisanje'!$V$1:$V$50),ROW('Za fakturisanje'!$V$1:$V$50)),ROW(E9))),"")</f>
        <v/>
      </c>
      <c r="F23" s="41" t="str">
        <f t="array" ref="F23">IFERROR(INDEX('Za fakturisanje'!$E$1:$E$50,SMALL(IF(ISNUMBER('Za fakturisanje'!$V$1:$V$50),ROW('Za fakturisanje'!$V$1:$V$50)),ROW(E9))),"")</f>
        <v/>
      </c>
      <c r="G23" s="33" t="str">
        <f t="shared" si="0"/>
        <v/>
      </c>
      <c r="H23" s="31" t="str">
        <f>IF(B23="","",VLOOKUP($C$12,kupci!$A:$J,6,FALSE))</f>
        <v/>
      </c>
      <c r="I23" s="41" t="str">
        <f t="shared" si="1"/>
        <v/>
      </c>
      <c r="J23" s="33" t="str">
        <f t="shared" si="2"/>
        <v/>
      </c>
      <c r="K23" s="33" t="str">
        <f t="shared" si="3"/>
        <v/>
      </c>
    </row>
    <row r="24" spans="1:12">
      <c r="A24" s="31" t="str">
        <f>IF(B24="","","10")</f>
        <v/>
      </c>
      <c r="B24" s="79" t="str">
        <f t="array" ref="B24">IFERROR(INDEX('Za fakturisanje'!$B$1:$B$50,SMALL(IF(ISNUMBER('Za fakturisanje'!$V$1:$V$50),ROW('Za fakturisanje'!$V$1:$V$50)),ROW(E10))),"")</f>
        <v/>
      </c>
      <c r="C24" s="52"/>
      <c r="D24" s="88" t="str">
        <f t="array" ref="D24">IFERROR(INDEX('Za fakturisanje'!$C$1:$C$50,SMALL(IF(ISNUMBER('Za fakturisanje'!$V$1:$V$50),ROW('Za fakturisanje'!$V$1:$V$50)),ROW(E10))),"")</f>
        <v/>
      </c>
      <c r="E24" s="31" t="str">
        <f t="array" ref="E24">IFERROR(INDEX('Za fakturisanje'!$V$1:$V$50,SMALL(IF(ISNUMBER('Za fakturisanje'!$V$1:$V$50),ROW('Za fakturisanje'!$V$1:$V$50)),ROW(E10))),"")</f>
        <v/>
      </c>
      <c r="F24" s="41" t="str">
        <f t="array" ref="F24">IFERROR(INDEX('Za fakturisanje'!$E$1:$E$50,SMALL(IF(ISNUMBER('Za fakturisanje'!$V$1:$V$50),ROW('Za fakturisanje'!$V$1:$V$50)),ROW(E10))),"")</f>
        <v/>
      </c>
      <c r="G24" s="33" t="str">
        <f t="shared" si="0"/>
        <v/>
      </c>
      <c r="H24" s="31" t="str">
        <f>IF(B24="","",VLOOKUP($C$12,kupci!$A:$J,6,FALSE))</f>
        <v/>
      </c>
      <c r="I24" s="41" t="str">
        <f t="shared" si="1"/>
        <v/>
      </c>
      <c r="J24" s="33" t="str">
        <f t="shared" si="2"/>
        <v/>
      </c>
      <c r="K24" s="33" t="str">
        <f t="shared" si="3"/>
        <v/>
      </c>
    </row>
    <row r="25" spans="1:12">
      <c r="A25" s="31" t="str">
        <f>IF(B25="","","11")</f>
        <v/>
      </c>
      <c r="B25" s="79" t="str">
        <f t="array" ref="B25">IFERROR(INDEX('Za fakturisanje'!$B$1:$B$50,SMALL(IF(ISNUMBER('Za fakturisanje'!$V$1:$V$50),ROW('Za fakturisanje'!$V$1:$V$50)),ROW(E11))),"")</f>
        <v/>
      </c>
      <c r="C25" s="48"/>
      <c r="D25" s="88" t="str">
        <f t="array" ref="D25">IFERROR(INDEX('Za fakturisanje'!$C$1:$C$50,SMALL(IF(ISNUMBER('Za fakturisanje'!$V$1:$V$50),ROW('Za fakturisanje'!$V$1:$V$50)),ROW(E11))),"")</f>
        <v/>
      </c>
      <c r="E25" s="31" t="str">
        <f t="array" ref="E25">IFERROR(INDEX('Za fakturisanje'!$V$1:$V$50,SMALL(IF(ISNUMBER('Za fakturisanje'!$V$1:$V$50),ROW('Za fakturisanje'!$V$1:$V$50)),ROW(E11))),"")</f>
        <v/>
      </c>
      <c r="F25" s="41" t="str">
        <f t="array" ref="F25">IFERROR(INDEX('Za fakturisanje'!$E$1:$E$50,SMALL(IF(ISNUMBER('Za fakturisanje'!$V$1:$V$50),ROW('Za fakturisanje'!$V$1:$V$50)),ROW(E11))),"")</f>
        <v/>
      </c>
      <c r="G25" s="33" t="str">
        <f t="shared" si="0"/>
        <v/>
      </c>
      <c r="H25" s="31" t="str">
        <f>IF(B25="","",VLOOKUP($C$12,kupci!$A:$J,6,FALSE))</f>
        <v/>
      </c>
      <c r="I25" s="41" t="str">
        <f t="shared" si="1"/>
        <v/>
      </c>
      <c r="J25" s="33" t="str">
        <f t="shared" si="2"/>
        <v/>
      </c>
      <c r="K25" s="33" t="str">
        <f t="shared" si="3"/>
        <v/>
      </c>
    </row>
    <row r="26" spans="1:12">
      <c r="A26" s="31" t="str">
        <f>IF(B26="","","12")</f>
        <v/>
      </c>
      <c r="B26" s="79" t="str">
        <f t="array" ref="B26">IFERROR(INDEX('Za fakturisanje'!$B$1:$B$50,SMALL(IF(ISNUMBER('Za fakturisanje'!$V$1:$V$50),ROW('Za fakturisanje'!$V$1:$V$50)),ROW(E12))),"")</f>
        <v/>
      </c>
      <c r="C26" s="49"/>
      <c r="D26" s="88" t="str">
        <f t="array" ref="D26">IFERROR(INDEX('Za fakturisanje'!$C$1:$C$50,SMALL(IF(ISNUMBER('Za fakturisanje'!$V$1:$V$50),ROW('Za fakturisanje'!$V$1:$V$50)),ROW(E12))),"")</f>
        <v/>
      </c>
      <c r="E26" s="31" t="str">
        <f t="array" ref="E26">IFERROR(INDEX('Za fakturisanje'!$V$1:$V$50,SMALL(IF(ISNUMBER('Za fakturisanje'!$V$1:$V$50),ROW('Za fakturisanje'!$V$1:$V$50)),ROW(E12))),"")</f>
        <v/>
      </c>
      <c r="F26" s="41" t="str">
        <f t="array" ref="F26">IFERROR(INDEX('Za fakturisanje'!$E$1:$E$50,SMALL(IF(ISNUMBER('Za fakturisanje'!$V$1:$V$50),ROW('Za fakturisanje'!$V$1:$V$50)),ROW(E12))),"")</f>
        <v/>
      </c>
      <c r="G26" s="33" t="str">
        <f t="shared" si="0"/>
        <v/>
      </c>
      <c r="H26" s="31" t="str">
        <f>IF(B26="","",VLOOKUP($C$12,kupci!$A:$J,6,FALSE))</f>
        <v/>
      </c>
      <c r="I26" s="41" t="str">
        <f t="shared" si="1"/>
        <v/>
      </c>
      <c r="J26" s="33" t="str">
        <f t="shared" si="2"/>
        <v/>
      </c>
      <c r="K26" s="33" t="str">
        <f t="shared" si="3"/>
        <v/>
      </c>
    </row>
    <row r="27" spans="1:12">
      <c r="A27" s="31" t="str">
        <f>IF(B27="","","13")</f>
        <v/>
      </c>
      <c r="B27" s="79" t="str">
        <f t="array" ref="B27">IFERROR(INDEX('Za fakturisanje'!$B$1:$B$50,SMALL(IF(ISNUMBER('Za fakturisanje'!$V$1:$V$50),ROW('Za fakturisanje'!$V$1:$V$50)),ROW(E13))),"")</f>
        <v/>
      </c>
      <c r="C27" s="50"/>
      <c r="D27" s="88" t="str">
        <f t="array" ref="D27">IFERROR(INDEX('Za fakturisanje'!$C$1:$C$50,SMALL(IF(ISNUMBER('Za fakturisanje'!$V$1:$V$50),ROW('Za fakturisanje'!$V$1:$V$50)),ROW(E13))),"")</f>
        <v/>
      </c>
      <c r="E27" s="31" t="str">
        <f t="array" ref="E27">IFERROR(INDEX('Za fakturisanje'!$V$1:$V$50,SMALL(IF(ISNUMBER('Za fakturisanje'!$V$1:$V$50),ROW('Za fakturisanje'!$V$1:$V$50)),ROW(E13))),"")</f>
        <v/>
      </c>
      <c r="F27" s="41" t="str">
        <f t="array" ref="F27">IFERROR(INDEX('Za fakturisanje'!$E$1:$E$50,SMALL(IF(ISNUMBER('Za fakturisanje'!$V$1:$V$50),ROW('Za fakturisanje'!$V$1:$V$50)),ROW(E13))),"")</f>
        <v/>
      </c>
      <c r="G27" s="33" t="str">
        <f t="shared" si="0"/>
        <v/>
      </c>
      <c r="H27" s="31" t="str">
        <f>IF(B27="","",VLOOKUP($C$12,kupci!$A:$J,6,FALSE))</f>
        <v/>
      </c>
      <c r="I27" s="41" t="str">
        <f t="shared" si="1"/>
        <v/>
      </c>
      <c r="J27" s="33" t="str">
        <f t="shared" si="2"/>
        <v/>
      </c>
      <c r="K27" s="33" t="str">
        <f t="shared" si="3"/>
        <v/>
      </c>
    </row>
    <row r="28" spans="1:12">
      <c r="A28" s="31"/>
      <c r="B28" s="196"/>
      <c r="C28" s="197"/>
      <c r="D28" s="32"/>
      <c r="E28" s="36">
        <f>SUM(E15:E27)</f>
        <v>0</v>
      </c>
      <c r="F28" s="34"/>
      <c r="G28" s="33">
        <f>SUM(G15:G27)</f>
        <v>0</v>
      </c>
      <c r="H28" s="36"/>
      <c r="I28" s="34">
        <f>SUM(I15:I27)</f>
        <v>0</v>
      </c>
      <c r="J28" s="34">
        <f>+G28-I28</f>
        <v>0</v>
      </c>
      <c r="K28" s="34">
        <f>+J28*1.17</f>
        <v>0</v>
      </c>
    </row>
    <row r="29" spans="1:12">
      <c r="A29" s="37"/>
      <c r="B29" s="38"/>
      <c r="C29" s="38"/>
      <c r="D29" s="38"/>
      <c r="E29" s="38"/>
      <c r="F29" s="38"/>
      <c r="G29" s="38"/>
      <c r="H29" s="38"/>
      <c r="I29" s="38"/>
      <c r="J29" s="39"/>
      <c r="K29" s="39"/>
    </row>
    <row r="30" spans="1:12">
      <c r="A30" s="37"/>
      <c r="B30" s="38"/>
      <c r="C30" s="38"/>
      <c r="D30" s="38"/>
      <c r="E30" s="38"/>
      <c r="F30" s="38"/>
      <c r="G30" s="78" t="s">
        <v>302</v>
      </c>
      <c r="H30" s="32"/>
      <c r="I30" s="40"/>
      <c r="J30" s="70"/>
      <c r="K30" s="72">
        <f>TRUNC(ROUND(+G28*1,2),2)</f>
        <v>0</v>
      </c>
      <c r="L30" s="74" t="s">
        <v>303</v>
      </c>
    </row>
    <row r="31" spans="1:12">
      <c r="A31" s="37"/>
      <c r="B31" s="38"/>
      <c r="C31" s="38"/>
      <c r="D31" s="38"/>
      <c r="E31" s="38"/>
      <c r="F31" s="38"/>
      <c r="G31" s="79" t="s">
        <v>304</v>
      </c>
      <c r="H31" s="67"/>
      <c r="I31" s="68"/>
      <c r="J31" s="69"/>
      <c r="K31" s="69">
        <f>TRUNC(ROUND(+I28*1,2),2)</f>
        <v>0</v>
      </c>
      <c r="L31" s="75" t="s">
        <v>303</v>
      </c>
    </row>
    <row r="32" spans="1:12">
      <c r="A32" s="37"/>
      <c r="B32" s="38"/>
      <c r="C32" s="38"/>
      <c r="D32" s="38"/>
      <c r="E32" s="38"/>
      <c r="F32" s="38"/>
      <c r="G32" s="78" t="s">
        <v>305</v>
      </c>
      <c r="H32" s="32"/>
      <c r="I32" s="71"/>
      <c r="J32" s="72"/>
      <c r="K32" s="72">
        <f>TRUNC(ROUND(+J28*1,2),2)</f>
        <v>0</v>
      </c>
      <c r="L32" s="74" t="s">
        <v>303</v>
      </c>
    </row>
    <row r="33" spans="1:12">
      <c r="A33" s="37"/>
      <c r="B33" s="38"/>
      <c r="C33" s="38"/>
      <c r="D33" s="38"/>
      <c r="E33" s="38"/>
      <c r="F33" s="38"/>
      <c r="G33" s="79" t="s">
        <v>306</v>
      </c>
      <c r="H33" s="67"/>
      <c r="I33" s="68"/>
      <c r="J33" s="69"/>
      <c r="K33" s="69">
        <f>TRUNC(ROUND(K28-J28,2),2)</f>
        <v>0</v>
      </c>
      <c r="L33" s="75" t="s">
        <v>303</v>
      </c>
    </row>
    <row r="34" spans="1:12" ht="15.6">
      <c r="B34" s="38"/>
      <c r="C34" s="38"/>
      <c r="D34" s="38"/>
      <c r="E34" s="38"/>
      <c r="F34" s="38"/>
      <c r="G34" s="80" t="s">
        <v>307</v>
      </c>
      <c r="H34" s="42"/>
      <c r="I34" s="43"/>
      <c r="J34" s="73"/>
      <c r="K34" s="76">
        <f>TRUNC(ROUND(+K32+K33,2),2)</f>
        <v>0</v>
      </c>
      <c r="L34" s="77" t="s">
        <v>303</v>
      </c>
    </row>
    <row r="43" spans="1:12">
      <c r="B43" s="10" t="s">
        <v>308</v>
      </c>
      <c r="H43" s="10" t="s">
        <v>288</v>
      </c>
    </row>
  </sheetData>
  <sheetProtection sheet="1" objects="1" scenarios="1"/>
  <mergeCells count="11">
    <mergeCell ref="M1:N1"/>
    <mergeCell ref="J2:K2"/>
    <mergeCell ref="J3:K3"/>
    <mergeCell ref="J4:K4"/>
    <mergeCell ref="H11:I11"/>
    <mergeCell ref="J11:K11"/>
    <mergeCell ref="H12:I12"/>
    <mergeCell ref="J12:K12"/>
    <mergeCell ref="B14:C14"/>
    <mergeCell ref="B28:C28"/>
    <mergeCell ref="J1:K1"/>
  </mergeCells>
  <pageMargins left="0.62992125984251968" right="0.23622047244094491" top="0.74803149606299213" bottom="0.74803149606299213" header="0.31496062992125984" footer="0.31496062992125984"/>
  <pageSetup paperSize="9" orientation="portrait" horizontalDpi="4294967293" verticalDpi="4294967293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8111-13BF-4295-8E90-21BDF46BF86F}">
  <sheetPr codeName="Sheet23"/>
  <dimension ref="A1:N43"/>
  <sheetViews>
    <sheetView zoomScale="120" zoomScaleNormal="120" workbookViewId="0">
      <selection activeCell="F6" sqref="F6:K7"/>
    </sheetView>
  </sheetViews>
  <sheetFormatPr defaultRowHeight="14.45"/>
  <cols>
    <col min="1" max="1" width="3.28515625" style="9" customWidth="1"/>
    <col min="2" max="2" width="14.28515625" style="10" customWidth="1"/>
    <col min="3" max="3" width="15.5703125" style="10" customWidth="1"/>
    <col min="4" max="4" width="5.140625" style="10" bestFit="1" customWidth="1"/>
    <col min="5" max="5" width="5.140625" style="10" customWidth="1"/>
    <col min="6" max="6" width="5.5703125" style="10" customWidth="1"/>
    <col min="7" max="7" width="8" style="10" customWidth="1"/>
    <col min="8" max="8" width="3.7109375" style="10" customWidth="1"/>
    <col min="9" max="9" width="5.7109375" style="29" customWidth="1"/>
    <col min="10" max="10" width="7.42578125" style="10" customWidth="1"/>
    <col min="11" max="11" width="10.28515625" style="10" customWidth="1"/>
    <col min="12" max="12" width="3.42578125" style="10" customWidth="1"/>
    <col min="13" max="13" width="8.85546875" style="12"/>
  </cols>
  <sheetData>
    <row r="1" spans="1:14">
      <c r="G1" s="82" t="s">
        <v>278</v>
      </c>
      <c r="H1" s="82"/>
      <c r="I1" s="11"/>
      <c r="J1" s="204" t="str">
        <f>'Za KIF-a'!E19</f>
        <v/>
      </c>
      <c r="K1" s="204"/>
      <c r="M1" s="194"/>
      <c r="N1" s="194"/>
    </row>
    <row r="2" spans="1:14">
      <c r="G2" s="81" t="s">
        <v>279</v>
      </c>
      <c r="H2" s="81"/>
      <c r="I2" s="11"/>
      <c r="J2" s="194" t="str">
        <f>'Za KIF-a'!D19</f>
        <v/>
      </c>
      <c r="K2" s="194"/>
    </row>
    <row r="3" spans="1:14">
      <c r="G3" s="81" t="s">
        <v>212</v>
      </c>
      <c r="H3" s="81"/>
      <c r="I3" s="13"/>
      <c r="J3" s="195">
        <f ca="1">'Za KIF-a'!L1</f>
        <v>44635</v>
      </c>
      <c r="K3" s="195"/>
      <c r="N3" s="83"/>
    </row>
    <row r="4" spans="1:14">
      <c r="G4" s="81" t="s">
        <v>214</v>
      </c>
      <c r="H4" s="81"/>
      <c r="I4" s="13"/>
      <c r="J4" s="195">
        <f ca="1">'Za KIF-a'!L2</f>
        <v>44636</v>
      </c>
      <c r="K4" s="195"/>
    </row>
    <row r="5" spans="1:14">
      <c r="G5" s="81" t="s">
        <v>280</v>
      </c>
      <c r="H5" s="81"/>
      <c r="I5" s="13"/>
      <c r="J5" s="14" t="e">
        <f>VLOOKUP($C$12,kupci!$A:$J,7,FALSE)</f>
        <v>#N/A</v>
      </c>
      <c r="K5" s="14"/>
    </row>
    <row r="6" spans="1:14">
      <c r="B6" s="15" t="s">
        <v>281</v>
      </c>
      <c r="C6" s="16"/>
      <c r="D6" s="15"/>
      <c r="E6" s="16"/>
      <c r="F6" s="16" t="s">
        <v>282</v>
      </c>
      <c r="G6" s="16"/>
      <c r="H6" s="16"/>
      <c r="I6" s="16"/>
      <c r="J6" s="17"/>
      <c r="K6" s="16"/>
    </row>
    <row r="7" spans="1:14">
      <c r="B7" s="15" t="s">
        <v>283</v>
      </c>
      <c r="C7" s="16"/>
      <c r="D7" s="15"/>
      <c r="E7" s="16"/>
      <c r="F7" s="16" t="s">
        <v>284</v>
      </c>
      <c r="G7" s="16"/>
      <c r="H7" s="16"/>
      <c r="I7" s="16"/>
      <c r="J7" s="17"/>
      <c r="K7" s="16"/>
    </row>
    <row r="8" spans="1:14">
      <c r="B8" s="15" t="s">
        <v>14</v>
      </c>
      <c r="C8" s="16"/>
      <c r="D8" s="15"/>
      <c r="E8" s="16"/>
      <c r="F8" s="15" t="s">
        <v>285</v>
      </c>
      <c r="G8" s="16"/>
      <c r="H8" s="16"/>
      <c r="I8" s="16"/>
      <c r="J8" s="17"/>
      <c r="K8" s="16"/>
    </row>
    <row r="9" spans="1:14">
      <c r="B9" s="18" t="s">
        <v>286</v>
      </c>
      <c r="C9" s="19"/>
      <c r="D9" s="18"/>
      <c r="E9" s="19"/>
      <c r="F9" s="20" t="s">
        <v>287</v>
      </c>
      <c r="G9" s="19"/>
      <c r="H9" s="19"/>
      <c r="I9" s="19"/>
      <c r="J9" s="21"/>
      <c r="K9" s="19"/>
    </row>
    <row r="10" spans="1:14">
      <c r="B10" s="22" t="s">
        <v>288</v>
      </c>
      <c r="C10" s="28" t="e">
        <f>VLOOKUP($C$12,kupci!$A:$J,2,FALSE)</f>
        <v>#N/A</v>
      </c>
      <c r="D10" s="24"/>
      <c r="E10" s="24"/>
      <c r="F10" s="23"/>
      <c r="G10" s="25"/>
      <c r="H10" s="25"/>
      <c r="I10" s="26"/>
      <c r="J10" s="25"/>
      <c r="K10" s="25"/>
    </row>
    <row r="11" spans="1:14">
      <c r="B11" s="27" t="s">
        <v>289</v>
      </c>
      <c r="C11" s="28" t="e">
        <f>VLOOKUP($C$12,kupci!$A:$J,3,FALSE)</f>
        <v>#N/A</v>
      </c>
      <c r="D11" s="28"/>
      <c r="E11" s="28"/>
      <c r="F11" s="28"/>
      <c r="H11" s="200" t="e">
        <f>IF(J11="*", "",  "PDV broj")</f>
        <v>#N/A</v>
      </c>
      <c r="I11" s="200"/>
      <c r="J11" s="198" t="e">
        <f>VLOOKUP($C$12,kupci!$A:$J,4,FALSE)</f>
        <v>#N/A</v>
      </c>
      <c r="K11" s="198"/>
    </row>
    <row r="12" spans="1:14">
      <c r="B12" s="27" t="s">
        <v>290</v>
      </c>
      <c r="C12" s="23">
        <f>'Za fakturisanje'!W$2</f>
        <v>0</v>
      </c>
      <c r="D12" s="28"/>
      <c r="E12" s="28"/>
      <c r="F12" s="28"/>
      <c r="H12" s="201" t="e">
        <f>IF(J12="*", "",  "ID broj")</f>
        <v>#N/A</v>
      </c>
      <c r="I12" s="201"/>
      <c r="J12" s="199" t="e">
        <f>VLOOKUP($C$12,kupci!$A:$J,5,FALSE)</f>
        <v>#N/A</v>
      </c>
      <c r="K12" s="199"/>
    </row>
    <row r="13" spans="1:14">
      <c r="C13" s="9"/>
      <c r="D13" s="9"/>
      <c r="K13" s="10" t="s">
        <v>291</v>
      </c>
    </row>
    <row r="14" spans="1:14" s="35" customFormat="1" ht="39.6" customHeight="1">
      <c r="A14" s="54" t="s">
        <v>292</v>
      </c>
      <c r="B14" s="202" t="s">
        <v>293</v>
      </c>
      <c r="C14" s="203"/>
      <c r="D14" s="30" t="s">
        <v>294</v>
      </c>
      <c r="E14" s="55" t="s">
        <v>295</v>
      </c>
      <c r="F14" s="30" t="s">
        <v>296</v>
      </c>
      <c r="G14" s="30" t="s">
        <v>297</v>
      </c>
      <c r="H14" s="61" t="s">
        <v>298</v>
      </c>
      <c r="I14" s="30" t="s">
        <v>299</v>
      </c>
      <c r="J14" s="30" t="s">
        <v>300</v>
      </c>
      <c r="K14" s="30" t="s">
        <v>301</v>
      </c>
      <c r="L14" s="56"/>
      <c r="M14" s="57"/>
    </row>
    <row r="15" spans="1:14">
      <c r="A15" s="31" t="str">
        <f>IF(B15="","","1")</f>
        <v/>
      </c>
      <c r="B15" s="79" t="str">
        <f t="array" ref="B15">IFERROR(INDEX('Za fakturisanje'!$B$1:$B$50,SMALL(IF(ISNUMBER('Za fakturisanje'!$W$1:$W$50),ROW('Za fakturisanje'!$W$1:$W$50)),ROW(E1))),"")</f>
        <v/>
      </c>
      <c r="C15" s="46"/>
      <c r="D15" s="88" t="str">
        <f t="array" ref="D15">IFERROR(INDEX('Za fakturisanje'!$C$1:$C$50,SMALL(IF(ISNUMBER('Za fakturisanje'!$W$1:$W$50),ROW('Za fakturisanje'!$W$1:$W$50)),ROW(E1))),"")</f>
        <v/>
      </c>
      <c r="E15" s="31" t="str">
        <f t="array" ref="E15">IFERROR(INDEX('Za fakturisanje'!$W$1:$W$50,SMALL(IF(ISNUMBER('Za fakturisanje'!$W$1:$W$50),ROW('Za fakturisanje'!$W$1:$W$50)),ROW(E1))),"")</f>
        <v/>
      </c>
      <c r="F15" s="41" t="str">
        <f t="array" ref="F15">IFERROR(INDEX('Za fakturisanje'!$E$1:$E$50,SMALL(IF(ISNUMBER('Za fakturisanje'!$W$1:$W$50),ROW('Za fakturisanje'!$W$1:$W$50)),ROW(E1))),"")</f>
        <v/>
      </c>
      <c r="G15" s="33" t="str">
        <f>IF(E15="", "",+E15*F15)</f>
        <v/>
      </c>
      <c r="H15" s="31" t="str">
        <f>IF(B15="","",VLOOKUP($C$12,kupci!$A:$J,6,FALSE))</f>
        <v/>
      </c>
      <c r="I15" s="41" t="str">
        <f>IF(B15="","",G15*H15/100)</f>
        <v/>
      </c>
      <c r="J15" s="33" t="str">
        <f>IF(B15="", "",+G15-I15)</f>
        <v/>
      </c>
      <c r="K15" s="33" t="str">
        <f>IF(B15="", "",+J15*1.17)</f>
        <v/>
      </c>
    </row>
    <row r="16" spans="1:14">
      <c r="A16" s="31" t="str">
        <f>IF(B16="","","2")</f>
        <v/>
      </c>
      <c r="B16" s="79" t="str">
        <f t="array" ref="B16">IFERROR(INDEX('Za fakturisanje'!$B$1:$B$50,SMALL(IF(ISNUMBER('Za fakturisanje'!$W$1:$W$50),ROW('Za fakturisanje'!$W$1:$W$50)),ROW(E2))),"")</f>
        <v/>
      </c>
      <c r="C16" s="46"/>
      <c r="D16" s="88" t="str">
        <f t="array" ref="D16">IFERROR(INDEX('Za fakturisanje'!$C$1:$C$50,SMALL(IF(ISNUMBER('Za fakturisanje'!$W$1:$W$50),ROW('Za fakturisanje'!$W$1:$W$50)),ROW(E2))),"")</f>
        <v/>
      </c>
      <c r="E16" s="31" t="str">
        <f t="array" ref="E16">IFERROR(INDEX('Za fakturisanje'!$W$1:$W$50,SMALL(IF(ISNUMBER('Za fakturisanje'!$W$1:$W$50),ROW('Za fakturisanje'!$W$1:$W$50)),ROW(E2))),"")</f>
        <v/>
      </c>
      <c r="F16" s="41" t="str">
        <f t="array" ref="F16">IFERROR(INDEX('Za fakturisanje'!$E$1:$E$50,SMALL(IF(ISNUMBER('Za fakturisanje'!$W$1:$W$50),ROW('Za fakturisanje'!$W$1:$W$50)),ROW(E2))),"")</f>
        <v/>
      </c>
      <c r="G16" s="33" t="str">
        <f t="shared" ref="G16:G27" si="0">IF(E16="", "",+E16*F16)</f>
        <v/>
      </c>
      <c r="H16" s="31" t="str">
        <f>IF(B16="","",VLOOKUP($C$12,kupci!$A:$J,6,FALSE))</f>
        <v/>
      </c>
      <c r="I16" s="41" t="str">
        <f t="shared" ref="I16:I27" si="1">IF(B16="","",G16*H16/100)</f>
        <v/>
      </c>
      <c r="J16" s="33" t="str">
        <f t="shared" ref="J16:J27" si="2">IF(B16="", "",+G16-I16)</f>
        <v/>
      </c>
      <c r="K16" s="33" t="str">
        <f t="shared" ref="K16:K27" si="3">IF(B16="", "",+J16*1.17)</f>
        <v/>
      </c>
    </row>
    <row r="17" spans="1:12">
      <c r="A17" s="31" t="str">
        <f>IF(B17="","","3")</f>
        <v/>
      </c>
      <c r="B17" s="79" t="str">
        <f t="array" ref="B17">IFERROR(INDEX('Za fakturisanje'!$B$1:$B$50,SMALL(IF(ISNUMBER('Za fakturisanje'!$W$1:$W$50),ROW('Za fakturisanje'!$W$1:$W$50)),ROW(E3))),"")</f>
        <v/>
      </c>
      <c r="C17" s="46"/>
      <c r="D17" s="88" t="str">
        <f t="array" ref="D17">IFERROR(INDEX('Za fakturisanje'!$C$1:$C$50,SMALL(IF(ISNUMBER('Za fakturisanje'!$W$1:$W$50),ROW('Za fakturisanje'!$W$1:$W$50)),ROW(E3))),"")</f>
        <v/>
      </c>
      <c r="E17" s="31" t="str">
        <f t="array" ref="E17">IFERROR(INDEX('Za fakturisanje'!$W$1:$W$50,SMALL(IF(ISNUMBER('Za fakturisanje'!$W$1:$W$50),ROW('Za fakturisanje'!$W$1:$W$50)),ROW(E3))),"")</f>
        <v/>
      </c>
      <c r="F17" s="41" t="str">
        <f t="array" ref="F17">IFERROR(INDEX('Za fakturisanje'!$E$1:$E$50,SMALL(IF(ISNUMBER('Za fakturisanje'!$W$1:$W$50),ROW('Za fakturisanje'!$W$1:$W$50)),ROW(E3))),"")</f>
        <v/>
      </c>
      <c r="G17" s="33" t="str">
        <f t="shared" si="0"/>
        <v/>
      </c>
      <c r="H17" s="31" t="str">
        <f>IF(B17="","",VLOOKUP($C$12,kupci!$A:$J,6,FALSE))</f>
        <v/>
      </c>
      <c r="I17" s="41" t="str">
        <f t="shared" si="1"/>
        <v/>
      </c>
      <c r="J17" s="33" t="str">
        <f t="shared" si="2"/>
        <v/>
      </c>
      <c r="K17" s="33" t="str">
        <f t="shared" si="3"/>
        <v/>
      </c>
    </row>
    <row r="18" spans="1:12">
      <c r="A18" s="31" t="str">
        <f>IF(B18="","","4")</f>
        <v/>
      </c>
      <c r="B18" s="79" t="str">
        <f t="array" ref="B18">IFERROR(INDEX('Za fakturisanje'!$B$1:$B$50,SMALL(IF(ISNUMBER('Za fakturisanje'!$W$1:$W$50),ROW('Za fakturisanje'!$W$1:$W$50)),ROW(E4))),"")</f>
        <v/>
      </c>
      <c r="C18" s="46"/>
      <c r="D18" s="88" t="str">
        <f t="array" ref="D18">IFERROR(INDEX('Za fakturisanje'!$C$1:$C$50,SMALL(IF(ISNUMBER('Za fakturisanje'!$W$1:$W$50),ROW('Za fakturisanje'!$W$1:$W$50)),ROW(E4))),"")</f>
        <v/>
      </c>
      <c r="E18" s="31" t="str">
        <f t="array" ref="E18">IFERROR(INDEX('Za fakturisanje'!$W$1:$W$50,SMALL(IF(ISNUMBER('Za fakturisanje'!$W$1:$W$50),ROW('Za fakturisanje'!$W$1:$W$50)),ROW(E4))),"")</f>
        <v/>
      </c>
      <c r="F18" s="41" t="str">
        <f t="array" ref="F18">IFERROR(INDEX('Za fakturisanje'!$E$1:$E$50,SMALL(IF(ISNUMBER('Za fakturisanje'!$W$1:$W$50),ROW('Za fakturisanje'!$W$1:$W$50)),ROW(E4))),"")</f>
        <v/>
      </c>
      <c r="G18" s="33" t="str">
        <f t="shared" si="0"/>
        <v/>
      </c>
      <c r="H18" s="31" t="str">
        <f>IF(B18="","",VLOOKUP($C$12,kupci!$A:$J,6,FALSE))</f>
        <v/>
      </c>
      <c r="I18" s="41" t="str">
        <f t="shared" si="1"/>
        <v/>
      </c>
      <c r="J18" s="33" t="str">
        <f t="shared" si="2"/>
        <v/>
      </c>
      <c r="K18" s="33" t="str">
        <f t="shared" si="3"/>
        <v/>
      </c>
    </row>
    <row r="19" spans="1:12">
      <c r="A19" s="31" t="str">
        <f>IF(B19="","","5")</f>
        <v/>
      </c>
      <c r="B19" s="79" t="str">
        <f t="array" ref="B19">IFERROR(INDEX('Za fakturisanje'!$B$1:$B$50,SMALL(IF(ISNUMBER('Za fakturisanje'!$W$1:$W$50),ROW('Za fakturisanje'!$W$1:$W$50)),ROW(E5))),"")</f>
        <v/>
      </c>
      <c r="C19" s="53"/>
      <c r="D19" s="88" t="str">
        <f t="array" ref="D19">IFERROR(INDEX('Za fakturisanje'!$C$1:$C$50,SMALL(IF(ISNUMBER('Za fakturisanje'!$W$1:$W$50),ROW('Za fakturisanje'!$W$1:$W$50)),ROW(E5))),"")</f>
        <v/>
      </c>
      <c r="E19" s="31" t="str">
        <f t="array" ref="E19">IFERROR(INDEX('Za fakturisanje'!$W$1:$W$50,SMALL(IF(ISNUMBER('Za fakturisanje'!$W$1:$W$50),ROW('Za fakturisanje'!$W$1:$W$50)),ROW(E5))),"")</f>
        <v/>
      </c>
      <c r="F19" s="41" t="str">
        <f t="array" ref="F19">IFERROR(INDEX('Za fakturisanje'!$E$1:$E$50,SMALL(IF(ISNUMBER('Za fakturisanje'!$W$1:$W$50),ROW('Za fakturisanje'!$W$1:$W$50)),ROW(E5))),"")</f>
        <v/>
      </c>
      <c r="G19" s="33" t="str">
        <f t="shared" si="0"/>
        <v/>
      </c>
      <c r="H19" s="31" t="str">
        <f>IF(B19="","",VLOOKUP($C$12,kupci!$A:$J,6,FALSE))</f>
        <v/>
      </c>
      <c r="I19" s="41" t="str">
        <f t="shared" si="1"/>
        <v/>
      </c>
      <c r="J19" s="33" t="str">
        <f t="shared" si="2"/>
        <v/>
      </c>
      <c r="K19" s="33" t="str">
        <f t="shared" si="3"/>
        <v/>
      </c>
    </row>
    <row r="20" spans="1:12">
      <c r="A20" s="31" t="str">
        <f>IF(B20="","","6")</f>
        <v/>
      </c>
      <c r="B20" s="79" t="str">
        <f t="array" ref="B20">IFERROR(INDEX('Za fakturisanje'!$B$1:$B$50,SMALL(IF(ISNUMBER('Za fakturisanje'!$W$1:$W$50),ROW('Za fakturisanje'!$W$1:$W$50)),ROW(E6))),"")</f>
        <v/>
      </c>
      <c r="C20" s="48"/>
      <c r="D20" s="88" t="str">
        <f t="array" ref="D20">IFERROR(INDEX('Za fakturisanje'!$C$1:$C$50,SMALL(IF(ISNUMBER('Za fakturisanje'!$W$1:$W$50),ROW('Za fakturisanje'!$W$1:$W$50)),ROW(E6))),"")</f>
        <v/>
      </c>
      <c r="E20" s="31" t="str">
        <f t="array" ref="E20">IFERROR(INDEX('Za fakturisanje'!$W$1:$W$50,SMALL(IF(ISNUMBER('Za fakturisanje'!$W$1:$W$50),ROW('Za fakturisanje'!$W$1:$W$50)),ROW(E6))),"")</f>
        <v/>
      </c>
      <c r="F20" s="41" t="str">
        <f t="array" ref="F20">IFERROR(INDEX('Za fakturisanje'!$E$1:$E$50,SMALL(IF(ISNUMBER('Za fakturisanje'!$W$1:$W$50),ROW('Za fakturisanje'!$W$1:$W$50)),ROW(E6))),"")</f>
        <v/>
      </c>
      <c r="G20" s="33" t="str">
        <f t="shared" si="0"/>
        <v/>
      </c>
      <c r="H20" s="31" t="str">
        <f>IF(B20="","",VLOOKUP($C$12,kupci!$A:$J,6,FALSE))</f>
        <v/>
      </c>
      <c r="I20" s="41" t="str">
        <f t="shared" si="1"/>
        <v/>
      </c>
      <c r="J20" s="33" t="str">
        <f t="shared" si="2"/>
        <v/>
      </c>
      <c r="K20" s="33" t="str">
        <f t="shared" si="3"/>
        <v/>
      </c>
    </row>
    <row r="21" spans="1:12">
      <c r="A21" s="31" t="str">
        <f>IF(B21="","","7")</f>
        <v/>
      </c>
      <c r="B21" s="79" t="str">
        <f t="array" ref="B21">IFERROR(INDEX('Za fakturisanje'!$B$1:$B$50,SMALL(IF(ISNUMBER('Za fakturisanje'!$W$1:$W$50),ROW('Za fakturisanje'!$W$1:$W$50)),ROW(E7))),"")</f>
        <v/>
      </c>
      <c r="C21" s="49"/>
      <c r="D21" s="88" t="str">
        <f t="array" ref="D21">IFERROR(INDEX('Za fakturisanje'!$C$1:$C$50,SMALL(IF(ISNUMBER('Za fakturisanje'!$W$1:$W$50),ROW('Za fakturisanje'!$W$1:$W$50)),ROW(E7))),"")</f>
        <v/>
      </c>
      <c r="E21" s="31" t="str">
        <f t="array" ref="E21">IFERROR(INDEX('Za fakturisanje'!$W$1:$W$50,SMALL(IF(ISNUMBER('Za fakturisanje'!$W$1:$W$50),ROW('Za fakturisanje'!$W$1:$W$50)),ROW(E7))),"")</f>
        <v/>
      </c>
      <c r="F21" s="41" t="str">
        <f t="array" ref="F21">IFERROR(INDEX('Za fakturisanje'!$E$1:$E$50,SMALL(IF(ISNUMBER('Za fakturisanje'!$W$1:$W$50),ROW('Za fakturisanje'!$W$1:$W$50)),ROW(E7))),"")</f>
        <v/>
      </c>
      <c r="G21" s="33" t="str">
        <f t="shared" si="0"/>
        <v/>
      </c>
      <c r="H21" s="31" t="str">
        <f>IF(B21="","",VLOOKUP($C$12,kupci!$A:$J,6,FALSE))</f>
        <v/>
      </c>
      <c r="I21" s="41" t="str">
        <f t="shared" si="1"/>
        <v/>
      </c>
      <c r="J21" s="33" t="str">
        <f t="shared" si="2"/>
        <v/>
      </c>
      <c r="K21" s="33" t="str">
        <f t="shared" si="3"/>
        <v/>
      </c>
    </row>
    <row r="22" spans="1:12">
      <c r="A22" s="31" t="str">
        <f>IF(B22="","","8")</f>
        <v/>
      </c>
      <c r="B22" s="79" t="str">
        <f t="array" ref="B22">IFERROR(INDEX('Za fakturisanje'!$B$1:$B$50,SMALL(IF(ISNUMBER('Za fakturisanje'!$W$1:$W$50),ROW('Za fakturisanje'!$W$1:$W$50)),ROW(E8))),"")</f>
        <v/>
      </c>
      <c r="C22" s="49"/>
      <c r="D22" s="88" t="str">
        <f t="array" ref="D22">IFERROR(INDEX('Za fakturisanje'!$C$1:$C$50,SMALL(IF(ISNUMBER('Za fakturisanje'!$W$1:$W$50),ROW('Za fakturisanje'!$W$1:$W$50)),ROW(E8))),"")</f>
        <v/>
      </c>
      <c r="E22" s="31" t="str">
        <f t="array" ref="E22">IFERROR(INDEX('Za fakturisanje'!$W$1:$W$50,SMALL(IF(ISNUMBER('Za fakturisanje'!$W$1:$W$50),ROW('Za fakturisanje'!$W$1:$W$50)),ROW(E8))),"")</f>
        <v/>
      </c>
      <c r="F22" s="41" t="str">
        <f t="array" ref="F22">IFERROR(INDEX('Za fakturisanje'!$E$1:$E$50,SMALL(IF(ISNUMBER('Za fakturisanje'!$W$1:$W$50),ROW('Za fakturisanje'!$W$1:$W$50)),ROW(E8))),"")</f>
        <v/>
      </c>
      <c r="G22" s="33" t="str">
        <f t="shared" si="0"/>
        <v/>
      </c>
      <c r="H22" s="31" t="str">
        <f>IF(B22="","",VLOOKUP($C$12,kupci!$A:$J,6,FALSE))</f>
        <v/>
      </c>
      <c r="I22" s="41" t="str">
        <f t="shared" si="1"/>
        <v/>
      </c>
      <c r="J22" s="33" t="str">
        <f t="shared" si="2"/>
        <v/>
      </c>
      <c r="K22" s="33" t="str">
        <f t="shared" si="3"/>
        <v/>
      </c>
    </row>
    <row r="23" spans="1:12">
      <c r="A23" s="31" t="str">
        <f>IF(B23="","","9")</f>
        <v/>
      </c>
      <c r="B23" s="79" t="str">
        <f t="array" ref="B23">IFERROR(INDEX('Za fakturisanje'!$B$1:$B$50,SMALL(IF(ISNUMBER('Za fakturisanje'!$W$1:$W$50),ROW('Za fakturisanje'!$W$1:$W$50)),ROW(E9))),"")</f>
        <v/>
      </c>
      <c r="C23" s="51"/>
      <c r="D23" s="88" t="str">
        <f t="array" ref="D23">IFERROR(INDEX('Za fakturisanje'!$C$1:$C$50,SMALL(IF(ISNUMBER('Za fakturisanje'!$W$1:$W$50),ROW('Za fakturisanje'!$W$1:$W$50)),ROW(E9))),"")</f>
        <v/>
      </c>
      <c r="E23" s="31" t="str">
        <f t="array" ref="E23">IFERROR(INDEX('Za fakturisanje'!$W$1:$W$50,SMALL(IF(ISNUMBER('Za fakturisanje'!$W$1:$W$50),ROW('Za fakturisanje'!$W$1:$W$50)),ROW(E9))),"")</f>
        <v/>
      </c>
      <c r="F23" s="41" t="str">
        <f t="array" ref="F23">IFERROR(INDEX('Za fakturisanje'!$E$1:$E$50,SMALL(IF(ISNUMBER('Za fakturisanje'!$W$1:$W$50),ROW('Za fakturisanje'!$W$1:$W$50)),ROW(E9))),"")</f>
        <v/>
      </c>
      <c r="G23" s="33" t="str">
        <f t="shared" si="0"/>
        <v/>
      </c>
      <c r="H23" s="31" t="str">
        <f>IF(B23="","",VLOOKUP($C$12,kupci!$A:$J,6,FALSE))</f>
        <v/>
      </c>
      <c r="I23" s="41" t="str">
        <f t="shared" si="1"/>
        <v/>
      </c>
      <c r="J23" s="33" t="str">
        <f t="shared" si="2"/>
        <v/>
      </c>
      <c r="K23" s="33" t="str">
        <f t="shared" si="3"/>
        <v/>
      </c>
    </row>
    <row r="24" spans="1:12">
      <c r="A24" s="31" t="str">
        <f>IF(B24="","","10")</f>
        <v/>
      </c>
      <c r="B24" s="79" t="str">
        <f t="array" ref="B24">IFERROR(INDEX('Za fakturisanje'!$B$1:$B$50,SMALL(IF(ISNUMBER('Za fakturisanje'!$W$1:$W$50),ROW('Za fakturisanje'!$W$1:$W$50)),ROW(E10))),"")</f>
        <v/>
      </c>
      <c r="C24" s="52"/>
      <c r="D24" s="88" t="str">
        <f t="array" ref="D24">IFERROR(INDEX('Za fakturisanje'!$C$1:$C$50,SMALL(IF(ISNUMBER('Za fakturisanje'!$W$1:$W$50),ROW('Za fakturisanje'!$W$1:$W$50)),ROW(E10))),"")</f>
        <v/>
      </c>
      <c r="E24" s="31" t="str">
        <f t="array" ref="E24">IFERROR(INDEX('Za fakturisanje'!$W$1:$W$50,SMALL(IF(ISNUMBER('Za fakturisanje'!$W$1:$W$50),ROW('Za fakturisanje'!$W$1:$W$50)),ROW(E10))),"")</f>
        <v/>
      </c>
      <c r="F24" s="41" t="str">
        <f t="array" ref="F24">IFERROR(INDEX('Za fakturisanje'!$E$1:$E$50,SMALL(IF(ISNUMBER('Za fakturisanje'!$W$1:$W$50),ROW('Za fakturisanje'!$W$1:$W$50)),ROW(E10))),"")</f>
        <v/>
      </c>
      <c r="G24" s="33" t="str">
        <f t="shared" si="0"/>
        <v/>
      </c>
      <c r="H24" s="31" t="str">
        <f>IF(B24="","",VLOOKUP($C$12,kupci!$A:$J,6,FALSE))</f>
        <v/>
      </c>
      <c r="I24" s="41" t="str">
        <f t="shared" si="1"/>
        <v/>
      </c>
      <c r="J24" s="33" t="str">
        <f t="shared" si="2"/>
        <v/>
      </c>
      <c r="K24" s="33" t="str">
        <f t="shared" si="3"/>
        <v/>
      </c>
    </row>
    <row r="25" spans="1:12">
      <c r="A25" s="31" t="str">
        <f>IF(B25="","","11")</f>
        <v/>
      </c>
      <c r="B25" s="79" t="str">
        <f t="array" ref="B25">IFERROR(INDEX('Za fakturisanje'!$B$1:$B$50,SMALL(IF(ISNUMBER('Za fakturisanje'!$W$1:$W$50),ROW('Za fakturisanje'!$W$1:$W$50)),ROW(E11))),"")</f>
        <v/>
      </c>
      <c r="C25" s="48"/>
      <c r="D25" s="88" t="str">
        <f t="array" ref="D25">IFERROR(INDEX('Za fakturisanje'!$C$1:$C$50,SMALL(IF(ISNUMBER('Za fakturisanje'!$W$1:$W$50),ROW('Za fakturisanje'!$W$1:$W$50)),ROW(E11))),"")</f>
        <v/>
      </c>
      <c r="E25" s="31" t="str">
        <f t="array" ref="E25">IFERROR(INDEX('Za fakturisanje'!$W$1:$W$50,SMALL(IF(ISNUMBER('Za fakturisanje'!$W$1:$W$50),ROW('Za fakturisanje'!$W$1:$W$50)),ROW(E11))),"")</f>
        <v/>
      </c>
      <c r="F25" s="41" t="str">
        <f t="array" ref="F25">IFERROR(INDEX('Za fakturisanje'!$E$1:$E$50,SMALL(IF(ISNUMBER('Za fakturisanje'!$W$1:$W$50),ROW('Za fakturisanje'!$W$1:$W$50)),ROW(E11))),"")</f>
        <v/>
      </c>
      <c r="G25" s="33" t="str">
        <f t="shared" si="0"/>
        <v/>
      </c>
      <c r="H25" s="31" t="str">
        <f>IF(B25="","",VLOOKUP($C$12,kupci!$A:$J,6,FALSE))</f>
        <v/>
      </c>
      <c r="I25" s="41" t="str">
        <f t="shared" si="1"/>
        <v/>
      </c>
      <c r="J25" s="33" t="str">
        <f t="shared" si="2"/>
        <v/>
      </c>
      <c r="K25" s="33" t="str">
        <f t="shared" si="3"/>
        <v/>
      </c>
    </row>
    <row r="26" spans="1:12">
      <c r="A26" s="31" t="str">
        <f>IF(B26="","","12")</f>
        <v/>
      </c>
      <c r="B26" s="79" t="str">
        <f t="array" ref="B26">IFERROR(INDEX('Za fakturisanje'!$B$1:$B$50,SMALL(IF(ISNUMBER('Za fakturisanje'!$W$1:$W$50),ROW('Za fakturisanje'!$W$1:$W$50)),ROW(E12))),"")</f>
        <v/>
      </c>
      <c r="C26" s="49"/>
      <c r="D26" s="88" t="str">
        <f t="array" ref="D26">IFERROR(INDEX('Za fakturisanje'!$C$1:$C$50,SMALL(IF(ISNUMBER('Za fakturisanje'!$W$1:$W$50),ROW('Za fakturisanje'!$W$1:$W$50)),ROW(E12))),"")</f>
        <v/>
      </c>
      <c r="E26" s="31" t="str">
        <f t="array" ref="E26">IFERROR(INDEX('Za fakturisanje'!$W$1:$W$50,SMALL(IF(ISNUMBER('Za fakturisanje'!$W$1:$W$50),ROW('Za fakturisanje'!$W$1:$W$50)),ROW(E12))),"")</f>
        <v/>
      </c>
      <c r="F26" s="41" t="str">
        <f t="array" ref="F26">IFERROR(INDEX('Za fakturisanje'!$E$1:$E$50,SMALL(IF(ISNUMBER('Za fakturisanje'!$W$1:$W$50),ROW('Za fakturisanje'!$W$1:$W$50)),ROW(E12))),"")</f>
        <v/>
      </c>
      <c r="G26" s="33" t="str">
        <f t="shared" si="0"/>
        <v/>
      </c>
      <c r="H26" s="31" t="str">
        <f>IF(B26="","",VLOOKUP($C$12,kupci!$A:$J,6,FALSE))</f>
        <v/>
      </c>
      <c r="I26" s="41" t="str">
        <f t="shared" si="1"/>
        <v/>
      </c>
      <c r="J26" s="33" t="str">
        <f t="shared" si="2"/>
        <v/>
      </c>
      <c r="K26" s="33" t="str">
        <f t="shared" si="3"/>
        <v/>
      </c>
    </row>
    <row r="27" spans="1:12">
      <c r="A27" s="31" t="str">
        <f>IF(B27="","","13")</f>
        <v/>
      </c>
      <c r="B27" s="79" t="str">
        <f t="array" ref="B27">IFERROR(INDEX('Za fakturisanje'!$B$1:$B$50,SMALL(IF(ISNUMBER('Za fakturisanje'!$W$1:$W$50),ROW('Za fakturisanje'!$W$1:$W$50)),ROW(E13))),"")</f>
        <v/>
      </c>
      <c r="C27" s="50"/>
      <c r="D27" s="88" t="str">
        <f t="array" ref="D27">IFERROR(INDEX('Za fakturisanje'!$C$1:$C$50,SMALL(IF(ISNUMBER('Za fakturisanje'!$W$1:$W$50),ROW('Za fakturisanje'!$W$1:$W$50)),ROW(E13))),"")</f>
        <v/>
      </c>
      <c r="E27" s="31" t="str">
        <f t="array" ref="E27">IFERROR(INDEX('Za fakturisanje'!$W$1:$W$50,SMALL(IF(ISNUMBER('Za fakturisanje'!$W$1:$W$50),ROW('Za fakturisanje'!$W$1:$W$50)),ROW(E13))),"")</f>
        <v/>
      </c>
      <c r="F27" s="41" t="str">
        <f t="array" ref="F27">IFERROR(INDEX('Za fakturisanje'!$E$1:$E$50,SMALL(IF(ISNUMBER('Za fakturisanje'!$W$1:$W$50),ROW('Za fakturisanje'!$W$1:$W$50)),ROW(E13))),"")</f>
        <v/>
      </c>
      <c r="G27" s="33" t="str">
        <f t="shared" si="0"/>
        <v/>
      </c>
      <c r="H27" s="31" t="str">
        <f>IF(B27="","",VLOOKUP($C$12,kupci!$A:$J,6,FALSE))</f>
        <v/>
      </c>
      <c r="I27" s="41" t="str">
        <f t="shared" si="1"/>
        <v/>
      </c>
      <c r="J27" s="33" t="str">
        <f t="shared" si="2"/>
        <v/>
      </c>
      <c r="K27" s="33" t="str">
        <f t="shared" si="3"/>
        <v/>
      </c>
    </row>
    <row r="28" spans="1:12">
      <c r="A28" s="31"/>
      <c r="B28" s="196"/>
      <c r="C28" s="197"/>
      <c r="D28" s="32"/>
      <c r="E28" s="36">
        <f>SUM(E15:E27)</f>
        <v>0</v>
      </c>
      <c r="F28" s="34"/>
      <c r="G28" s="33">
        <f>SUM(G15:G27)</f>
        <v>0</v>
      </c>
      <c r="H28" s="36"/>
      <c r="I28" s="34">
        <f>SUM(I15:I27)</f>
        <v>0</v>
      </c>
      <c r="J28" s="34">
        <f>+G28-I28</f>
        <v>0</v>
      </c>
      <c r="K28" s="34">
        <f>+J28*1.17</f>
        <v>0</v>
      </c>
    </row>
    <row r="29" spans="1:12">
      <c r="A29" s="37"/>
      <c r="B29" s="38"/>
      <c r="C29" s="38"/>
      <c r="D29" s="38"/>
      <c r="E29" s="38"/>
      <c r="F29" s="38"/>
      <c r="G29" s="38"/>
      <c r="H29" s="38"/>
      <c r="I29" s="38"/>
      <c r="J29" s="39"/>
      <c r="K29" s="39"/>
    </row>
    <row r="30" spans="1:12">
      <c r="A30" s="37"/>
      <c r="B30" s="38"/>
      <c r="C30" s="38"/>
      <c r="D30" s="38"/>
      <c r="E30" s="38"/>
      <c r="F30" s="38"/>
      <c r="G30" s="78" t="s">
        <v>302</v>
      </c>
      <c r="H30" s="32"/>
      <c r="I30" s="40"/>
      <c r="J30" s="70"/>
      <c r="K30" s="72">
        <f>TRUNC(ROUND(+G28*1,2),2)</f>
        <v>0</v>
      </c>
      <c r="L30" s="74" t="s">
        <v>303</v>
      </c>
    </row>
    <row r="31" spans="1:12">
      <c r="A31" s="37"/>
      <c r="B31" s="38"/>
      <c r="C31" s="38"/>
      <c r="D31" s="38"/>
      <c r="E31" s="38"/>
      <c r="F31" s="38"/>
      <c r="G31" s="79" t="s">
        <v>304</v>
      </c>
      <c r="H31" s="67"/>
      <c r="I31" s="68"/>
      <c r="J31" s="69"/>
      <c r="K31" s="69">
        <f>TRUNC(ROUND(+I28*1,2),2)</f>
        <v>0</v>
      </c>
      <c r="L31" s="75" t="s">
        <v>303</v>
      </c>
    </row>
    <row r="32" spans="1:12">
      <c r="A32" s="37"/>
      <c r="B32" s="38"/>
      <c r="C32" s="38"/>
      <c r="D32" s="38"/>
      <c r="E32" s="38"/>
      <c r="F32" s="38"/>
      <c r="G32" s="78" t="s">
        <v>305</v>
      </c>
      <c r="H32" s="32"/>
      <c r="I32" s="71"/>
      <c r="J32" s="72"/>
      <c r="K32" s="72">
        <f>TRUNC(ROUND(+J28*1,2),2)</f>
        <v>0</v>
      </c>
      <c r="L32" s="74" t="s">
        <v>303</v>
      </c>
    </row>
    <row r="33" spans="1:12">
      <c r="A33" s="37"/>
      <c r="B33" s="38"/>
      <c r="C33" s="38"/>
      <c r="D33" s="38"/>
      <c r="E33" s="38"/>
      <c r="F33" s="38"/>
      <c r="G33" s="79" t="s">
        <v>306</v>
      </c>
      <c r="H33" s="67"/>
      <c r="I33" s="68"/>
      <c r="J33" s="69"/>
      <c r="K33" s="69">
        <f>TRUNC(ROUND(K28-J28,2),2)</f>
        <v>0</v>
      </c>
      <c r="L33" s="75" t="s">
        <v>303</v>
      </c>
    </row>
    <row r="34" spans="1:12" ht="15.6">
      <c r="B34" s="38"/>
      <c r="C34" s="38"/>
      <c r="D34" s="38"/>
      <c r="E34" s="38"/>
      <c r="F34" s="38"/>
      <c r="G34" s="80" t="s">
        <v>307</v>
      </c>
      <c r="H34" s="42"/>
      <c r="I34" s="43"/>
      <c r="J34" s="73"/>
      <c r="K34" s="76">
        <f>TRUNC(ROUND(+K32+K33,2),2)</f>
        <v>0</v>
      </c>
      <c r="L34" s="77" t="s">
        <v>303</v>
      </c>
    </row>
    <row r="43" spans="1:12">
      <c r="B43" s="10" t="s">
        <v>308</v>
      </c>
      <c r="H43" s="10" t="s">
        <v>288</v>
      </c>
    </row>
  </sheetData>
  <sheetProtection sheet="1" objects="1" scenarios="1"/>
  <mergeCells count="11">
    <mergeCell ref="M1:N1"/>
    <mergeCell ref="J2:K2"/>
    <mergeCell ref="J3:K3"/>
    <mergeCell ref="J4:K4"/>
    <mergeCell ref="H11:I11"/>
    <mergeCell ref="J11:K11"/>
    <mergeCell ref="H12:I12"/>
    <mergeCell ref="J12:K12"/>
    <mergeCell ref="B14:C14"/>
    <mergeCell ref="B28:C28"/>
    <mergeCell ref="J1:K1"/>
  </mergeCells>
  <pageMargins left="0.62992125984251968" right="0.23622047244094491" top="0.74803149606299213" bottom="0.74803149606299213" header="0.31496062992125984" footer="0.31496062992125984"/>
  <pageSetup paperSize="9" orientation="portrait" horizontalDpi="4294967293" verticalDpi="4294967293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73594-F806-42FA-B20D-7766A0944C42}">
  <sheetPr codeName="Sheet24"/>
  <dimension ref="A1:N43"/>
  <sheetViews>
    <sheetView topLeftCell="A10" zoomScale="120" zoomScaleNormal="120" workbookViewId="0">
      <selection activeCell="N17" sqref="N17"/>
    </sheetView>
  </sheetViews>
  <sheetFormatPr defaultRowHeight="14.45"/>
  <cols>
    <col min="1" max="1" width="3.28515625" style="9" customWidth="1"/>
    <col min="2" max="2" width="14.28515625" style="10" customWidth="1"/>
    <col min="3" max="3" width="15.5703125" style="10" customWidth="1"/>
    <col min="4" max="4" width="5.140625" style="10" bestFit="1" customWidth="1"/>
    <col min="5" max="5" width="5.140625" style="10" customWidth="1"/>
    <col min="6" max="6" width="5.5703125" style="10" customWidth="1"/>
    <col min="7" max="7" width="8" style="10" customWidth="1"/>
    <col min="8" max="8" width="3.7109375" style="10" customWidth="1"/>
    <col min="9" max="9" width="5.7109375" style="29" customWidth="1"/>
    <col min="10" max="10" width="7.42578125" style="10" customWidth="1"/>
    <col min="11" max="11" width="10.28515625" style="10" customWidth="1"/>
    <col min="12" max="12" width="3.42578125" style="10" customWidth="1"/>
    <col min="13" max="13" width="8.85546875" style="12"/>
  </cols>
  <sheetData>
    <row r="1" spans="1:14">
      <c r="G1" s="82" t="s">
        <v>278</v>
      </c>
      <c r="H1" s="82"/>
      <c r="I1" s="11"/>
      <c r="J1" s="204" t="str">
        <f>'Za KIF-a'!E20</f>
        <v/>
      </c>
      <c r="K1" s="204"/>
      <c r="M1" s="194"/>
      <c r="N1" s="194"/>
    </row>
    <row r="2" spans="1:14">
      <c r="G2" s="81" t="s">
        <v>279</v>
      </c>
      <c r="H2" s="81"/>
      <c r="I2" s="11"/>
      <c r="J2" s="194" t="str">
        <f>'Za KIF-a'!D20</f>
        <v/>
      </c>
      <c r="K2" s="194"/>
    </row>
    <row r="3" spans="1:14">
      <c r="G3" s="81" t="s">
        <v>212</v>
      </c>
      <c r="H3" s="81"/>
      <c r="I3" s="13"/>
      <c r="J3" s="195">
        <f ca="1">'Za KIF-a'!L1</f>
        <v>44635</v>
      </c>
      <c r="K3" s="195"/>
      <c r="N3" s="83"/>
    </row>
    <row r="4" spans="1:14">
      <c r="G4" s="81" t="s">
        <v>214</v>
      </c>
      <c r="H4" s="81"/>
      <c r="I4" s="13"/>
      <c r="J4" s="195">
        <f ca="1">'Za KIF-a'!L2</f>
        <v>44636</v>
      </c>
      <c r="K4" s="195"/>
    </row>
    <row r="5" spans="1:14">
      <c r="G5" s="81" t="s">
        <v>280</v>
      </c>
      <c r="H5" s="81"/>
      <c r="I5" s="13"/>
      <c r="J5" s="14" t="e">
        <f>VLOOKUP($C$12,kupci!$A:$J,7,FALSE)</f>
        <v>#N/A</v>
      </c>
      <c r="K5" s="14"/>
    </row>
    <row r="6" spans="1:14">
      <c r="B6" s="15" t="s">
        <v>281</v>
      </c>
      <c r="C6" s="16"/>
      <c r="D6" s="15"/>
      <c r="E6" s="16"/>
      <c r="F6" s="16" t="s">
        <v>282</v>
      </c>
      <c r="G6" s="16"/>
      <c r="H6" s="16"/>
      <c r="I6" s="16"/>
      <c r="J6" s="17"/>
      <c r="K6" s="16"/>
    </row>
    <row r="7" spans="1:14">
      <c r="B7" s="15" t="s">
        <v>283</v>
      </c>
      <c r="C7" s="16"/>
      <c r="D7" s="15"/>
      <c r="E7" s="16"/>
      <c r="F7" s="16" t="s">
        <v>284</v>
      </c>
      <c r="G7" s="16"/>
      <c r="H7" s="16"/>
      <c r="I7" s="16"/>
      <c r="J7" s="17"/>
      <c r="K7" s="16"/>
    </row>
    <row r="8" spans="1:14">
      <c r="B8" s="15" t="s">
        <v>14</v>
      </c>
      <c r="C8" s="16"/>
      <c r="D8" s="15"/>
      <c r="E8" s="16"/>
      <c r="F8" s="15" t="s">
        <v>285</v>
      </c>
      <c r="G8" s="16"/>
      <c r="H8" s="16"/>
      <c r="I8" s="16"/>
      <c r="J8" s="17"/>
      <c r="K8" s="16"/>
    </row>
    <row r="9" spans="1:14">
      <c r="B9" s="18" t="s">
        <v>286</v>
      </c>
      <c r="C9" s="19"/>
      <c r="D9" s="18"/>
      <c r="E9" s="19"/>
      <c r="F9" s="20" t="s">
        <v>287</v>
      </c>
      <c r="G9" s="19"/>
      <c r="H9" s="19"/>
      <c r="I9" s="19"/>
      <c r="J9" s="21"/>
      <c r="K9" s="19"/>
    </row>
    <row r="10" spans="1:14">
      <c r="B10" s="22" t="s">
        <v>288</v>
      </c>
      <c r="C10" s="28" t="e">
        <f>VLOOKUP($C$12,kupci!$A:$J,2,FALSE)</f>
        <v>#N/A</v>
      </c>
      <c r="D10" s="24"/>
      <c r="E10" s="24"/>
      <c r="F10" s="23"/>
      <c r="G10" s="25"/>
      <c r="H10" s="25"/>
      <c r="I10" s="26"/>
      <c r="J10" s="25"/>
      <c r="K10" s="25"/>
    </row>
    <row r="11" spans="1:14">
      <c r="B11" s="27" t="s">
        <v>289</v>
      </c>
      <c r="C11" s="28" t="e">
        <f>VLOOKUP($C$12,kupci!$A:$J,3,FALSE)</f>
        <v>#N/A</v>
      </c>
      <c r="D11" s="28"/>
      <c r="E11" s="28"/>
      <c r="F11" s="28"/>
      <c r="H11" s="200" t="e">
        <f>IF(J11="*", "",  "PDV broj")</f>
        <v>#N/A</v>
      </c>
      <c r="I11" s="200"/>
      <c r="J11" s="198" t="e">
        <f>VLOOKUP($C$12,kupci!$A:$J,4,FALSE)</f>
        <v>#N/A</v>
      </c>
      <c r="K11" s="198"/>
    </row>
    <row r="12" spans="1:14">
      <c r="B12" s="27" t="s">
        <v>290</v>
      </c>
      <c r="C12" s="23">
        <f>'Za fakturisanje'!X$2</f>
        <v>0</v>
      </c>
      <c r="D12" s="28"/>
      <c r="E12" s="28"/>
      <c r="F12" s="28"/>
      <c r="H12" s="201" t="e">
        <f>IF(J12="*", "",  "ID broj")</f>
        <v>#N/A</v>
      </c>
      <c r="I12" s="201"/>
      <c r="J12" s="199" t="e">
        <f>VLOOKUP($C$12,kupci!$A:$J,5,FALSE)</f>
        <v>#N/A</v>
      </c>
      <c r="K12" s="199"/>
    </row>
    <row r="13" spans="1:14">
      <c r="C13" s="9"/>
      <c r="D13" s="9"/>
      <c r="K13" s="10" t="s">
        <v>291</v>
      </c>
    </row>
    <row r="14" spans="1:14" s="35" customFormat="1" ht="39.6" customHeight="1">
      <c r="A14" s="54" t="s">
        <v>292</v>
      </c>
      <c r="B14" s="202" t="s">
        <v>293</v>
      </c>
      <c r="C14" s="203"/>
      <c r="D14" s="30" t="s">
        <v>294</v>
      </c>
      <c r="E14" s="55" t="s">
        <v>295</v>
      </c>
      <c r="F14" s="30" t="s">
        <v>296</v>
      </c>
      <c r="G14" s="30" t="s">
        <v>297</v>
      </c>
      <c r="H14" s="61" t="s">
        <v>298</v>
      </c>
      <c r="I14" s="30" t="s">
        <v>299</v>
      </c>
      <c r="J14" s="30" t="s">
        <v>300</v>
      </c>
      <c r="K14" s="30" t="s">
        <v>301</v>
      </c>
      <c r="L14" s="56"/>
      <c r="M14" s="57"/>
    </row>
    <row r="15" spans="1:14">
      <c r="A15" s="31" t="str">
        <f>IF(B15="","","1")</f>
        <v/>
      </c>
      <c r="B15" s="79" t="str">
        <f t="array" ref="B15">IFERROR(INDEX('Za fakturisanje'!$B$1:$B$50,SMALL(IF(ISNUMBER('Za fakturisanje'!$X$1:$X$50),ROW('Za fakturisanje'!$X$1:$X$50)),ROW(E1))),"")</f>
        <v/>
      </c>
      <c r="C15" s="46"/>
      <c r="D15" s="88" t="str">
        <f t="array" ref="D15">IFERROR(INDEX('Za fakturisanje'!$C$1:$C$50,SMALL(IF(ISNUMBER('Za fakturisanje'!$X$1:$X$50),ROW('Za fakturisanje'!$X$1:$X$50)),ROW(E1))),"")</f>
        <v/>
      </c>
      <c r="E15" s="31" t="str">
        <f t="array" ref="E15">IFERROR(INDEX('Za fakturisanje'!$X$1:$X$50,SMALL(IF(ISNUMBER('Za fakturisanje'!$X$1:$X$50),ROW('Za fakturisanje'!$X$1:$X$50)),ROW(E1))),"")</f>
        <v/>
      </c>
      <c r="F15" s="41" t="str">
        <f t="array" ref="F15">IFERROR(INDEX('Za fakturisanje'!$E$1:$E$50,SMALL(IF(ISNUMBER('Za fakturisanje'!$X$1:$X$50),ROW('Za fakturisanje'!$X$1:$X$50)),ROW(E1))),"")</f>
        <v/>
      </c>
      <c r="G15" s="33" t="str">
        <f>IF(E15="", "",+E15*F15)</f>
        <v/>
      </c>
      <c r="H15" s="31" t="str">
        <f>IF(B15="","",VLOOKUP($C$12,kupci!$A:$J,6,FALSE))</f>
        <v/>
      </c>
      <c r="I15" s="41" t="str">
        <f>IF(B15="","",G15*H15/100)</f>
        <v/>
      </c>
      <c r="J15" s="33" t="str">
        <f>IF(B15="", "",+G15-I15)</f>
        <v/>
      </c>
      <c r="K15" s="33" t="str">
        <f>IF(B15="", "",+J15*1.17)</f>
        <v/>
      </c>
    </row>
    <row r="16" spans="1:14">
      <c r="A16" s="31" t="str">
        <f>IF(B16="","","2")</f>
        <v/>
      </c>
      <c r="B16" s="79" t="str">
        <f t="array" ref="B16">IFERROR(INDEX('Za fakturisanje'!$B$1:$B$50,SMALL(IF(ISNUMBER('Za fakturisanje'!$X$1:$X$50),ROW('Za fakturisanje'!$X$1:$X$50)),ROW(E2))),"")</f>
        <v/>
      </c>
      <c r="C16" s="46"/>
      <c r="D16" s="88" t="str">
        <f t="array" ref="D16">IFERROR(INDEX('Za fakturisanje'!$C$1:$C$50,SMALL(IF(ISNUMBER('Za fakturisanje'!$X$1:$X$50),ROW('Za fakturisanje'!$X$1:$X$50)),ROW(E2))),"")</f>
        <v/>
      </c>
      <c r="E16" s="31" t="str">
        <f t="array" ref="E16">IFERROR(INDEX('Za fakturisanje'!$X$1:$X$50,SMALL(IF(ISNUMBER('Za fakturisanje'!$X$1:$X$50),ROW('Za fakturisanje'!$X$1:$X$50)),ROW(E2))),"")</f>
        <v/>
      </c>
      <c r="F16" s="41" t="str">
        <f t="array" ref="F16">IFERROR(INDEX('Za fakturisanje'!$E$1:$E$50,SMALL(IF(ISNUMBER('Za fakturisanje'!$X$1:$X$50),ROW('Za fakturisanje'!$X$1:$X$50)),ROW(E2))),"")</f>
        <v/>
      </c>
      <c r="G16" s="33" t="str">
        <f t="shared" ref="G16:G27" si="0">IF(E16="", "",+E16*F16)</f>
        <v/>
      </c>
      <c r="H16" s="31" t="str">
        <f>IF(B16="","",VLOOKUP($C$12,kupci!$A:$J,6,FALSE))</f>
        <v/>
      </c>
      <c r="I16" s="41" t="str">
        <f t="shared" ref="I16:I27" si="1">IF(B16="","",G16*H16/100)</f>
        <v/>
      </c>
      <c r="J16" s="33" t="str">
        <f t="shared" ref="J16:J27" si="2">IF(B16="", "",+G16-I16)</f>
        <v/>
      </c>
      <c r="K16" s="33" t="str">
        <f t="shared" ref="K16:K27" si="3">IF(B16="", "",+J16*1.17)</f>
        <v/>
      </c>
    </row>
    <row r="17" spans="1:12">
      <c r="A17" s="31" t="str">
        <f>IF(B17="","","3")</f>
        <v/>
      </c>
      <c r="B17" s="79" t="str">
        <f t="array" ref="B17">IFERROR(INDEX('Za fakturisanje'!$B$1:$B$50,SMALL(IF(ISNUMBER('Za fakturisanje'!$X$1:$X$50),ROW('Za fakturisanje'!$X$1:$X$50)),ROW(E3))),"")</f>
        <v/>
      </c>
      <c r="C17" s="46"/>
      <c r="D17" s="88" t="str">
        <f t="array" ref="D17">IFERROR(INDEX('Za fakturisanje'!$C$1:$C$50,SMALL(IF(ISNUMBER('Za fakturisanje'!$X$1:$X$50),ROW('Za fakturisanje'!$X$1:$X$50)),ROW(E3))),"")</f>
        <v/>
      </c>
      <c r="E17" s="31" t="str">
        <f t="array" ref="E17">IFERROR(INDEX('Za fakturisanje'!$X$1:$X$50,SMALL(IF(ISNUMBER('Za fakturisanje'!$X$1:$X$50),ROW('Za fakturisanje'!$X$1:$X$50)),ROW(E3))),"")</f>
        <v/>
      </c>
      <c r="F17" s="41" t="str">
        <f t="array" ref="F17">IFERROR(INDEX('Za fakturisanje'!$E$1:$E$50,SMALL(IF(ISNUMBER('Za fakturisanje'!$X$1:$X$50),ROW('Za fakturisanje'!$X$1:$X$50)),ROW(E3))),"")</f>
        <v/>
      </c>
      <c r="G17" s="33" t="str">
        <f t="shared" si="0"/>
        <v/>
      </c>
      <c r="H17" s="31" t="str">
        <f>IF(B17="","",VLOOKUP($C$12,kupci!$A:$J,6,FALSE))</f>
        <v/>
      </c>
      <c r="I17" s="41" t="str">
        <f t="shared" si="1"/>
        <v/>
      </c>
      <c r="J17" s="33" t="str">
        <f t="shared" si="2"/>
        <v/>
      </c>
      <c r="K17" s="33" t="str">
        <f t="shared" si="3"/>
        <v/>
      </c>
    </row>
    <row r="18" spans="1:12">
      <c r="A18" s="31" t="str">
        <f>IF(B18="","","4")</f>
        <v/>
      </c>
      <c r="B18" s="79" t="str">
        <f t="array" ref="B18">IFERROR(INDEX('Za fakturisanje'!$B$1:$B$50,SMALL(IF(ISNUMBER('Za fakturisanje'!$X$1:$X$50),ROW('Za fakturisanje'!$X$1:$X$50)),ROW(E4))),"")</f>
        <v/>
      </c>
      <c r="C18" s="46"/>
      <c r="D18" s="88" t="str">
        <f t="array" ref="D18">IFERROR(INDEX('Za fakturisanje'!$C$1:$C$50,SMALL(IF(ISNUMBER('Za fakturisanje'!$X$1:$X$50),ROW('Za fakturisanje'!$X$1:$X$50)),ROW(E4))),"")</f>
        <v/>
      </c>
      <c r="E18" s="31" t="str">
        <f t="array" ref="E18">IFERROR(INDEX('Za fakturisanje'!$X$1:$X$50,SMALL(IF(ISNUMBER('Za fakturisanje'!$X$1:$X$50),ROW('Za fakturisanje'!$X$1:$X$50)),ROW(E4))),"")</f>
        <v/>
      </c>
      <c r="F18" s="41" t="str">
        <f t="array" ref="F18">IFERROR(INDEX('Za fakturisanje'!$E$1:$E$50,SMALL(IF(ISNUMBER('Za fakturisanje'!$X$1:$X$50),ROW('Za fakturisanje'!$X$1:$X$50)),ROW(E4))),"")</f>
        <v/>
      </c>
      <c r="G18" s="33" t="str">
        <f t="shared" si="0"/>
        <v/>
      </c>
      <c r="H18" s="31" t="str">
        <f>IF(B18="","",VLOOKUP($C$12,kupci!$A:$J,6,FALSE))</f>
        <v/>
      </c>
      <c r="I18" s="41" t="str">
        <f t="shared" si="1"/>
        <v/>
      </c>
      <c r="J18" s="33" t="str">
        <f t="shared" si="2"/>
        <v/>
      </c>
      <c r="K18" s="33" t="str">
        <f t="shared" si="3"/>
        <v/>
      </c>
    </row>
    <row r="19" spans="1:12">
      <c r="A19" s="31" t="str">
        <f>IF(B19="","","5")</f>
        <v/>
      </c>
      <c r="B19" s="79" t="str">
        <f t="array" ref="B19">IFERROR(INDEX('Za fakturisanje'!$B$1:$B$50,SMALL(IF(ISNUMBER('Za fakturisanje'!$X$1:$X$50),ROW('Za fakturisanje'!$X$1:$X$50)),ROW(E5))),"")</f>
        <v/>
      </c>
      <c r="C19" s="53"/>
      <c r="D19" s="88" t="str">
        <f t="array" ref="D19">IFERROR(INDEX('Za fakturisanje'!$C$1:$C$50,SMALL(IF(ISNUMBER('Za fakturisanje'!$X$1:$X$50),ROW('Za fakturisanje'!$X$1:$X$50)),ROW(E5))),"")</f>
        <v/>
      </c>
      <c r="E19" s="31" t="str">
        <f t="array" ref="E19">IFERROR(INDEX('Za fakturisanje'!$X$1:$X$50,SMALL(IF(ISNUMBER('Za fakturisanje'!$X$1:$X$50),ROW('Za fakturisanje'!$X$1:$X$50)),ROW(E5))),"")</f>
        <v/>
      </c>
      <c r="F19" s="41" t="str">
        <f t="array" ref="F19">IFERROR(INDEX('Za fakturisanje'!$E$1:$E$50,SMALL(IF(ISNUMBER('Za fakturisanje'!$X$1:$X$50),ROW('Za fakturisanje'!$X$1:$X$50)),ROW(E5))),"")</f>
        <v/>
      </c>
      <c r="G19" s="33" t="str">
        <f t="shared" si="0"/>
        <v/>
      </c>
      <c r="H19" s="31" t="str">
        <f>IF(B19="","",VLOOKUP($C$12,kupci!$A:$J,6,FALSE))</f>
        <v/>
      </c>
      <c r="I19" s="41" t="str">
        <f t="shared" si="1"/>
        <v/>
      </c>
      <c r="J19" s="33" t="str">
        <f t="shared" si="2"/>
        <v/>
      </c>
      <c r="K19" s="33" t="str">
        <f t="shared" si="3"/>
        <v/>
      </c>
    </row>
    <row r="20" spans="1:12">
      <c r="A20" s="31" t="str">
        <f>IF(B20="","","6")</f>
        <v/>
      </c>
      <c r="B20" s="79" t="str">
        <f t="array" ref="B20">IFERROR(INDEX('Za fakturisanje'!$B$1:$B$50,SMALL(IF(ISNUMBER('Za fakturisanje'!$X$1:$X$50),ROW('Za fakturisanje'!$X$1:$X$50)),ROW(E6))),"")</f>
        <v/>
      </c>
      <c r="C20" s="48"/>
      <c r="D20" s="88" t="str">
        <f t="array" ref="D20">IFERROR(INDEX('Za fakturisanje'!$C$1:$C$50,SMALL(IF(ISNUMBER('Za fakturisanje'!$X$1:$X$50),ROW('Za fakturisanje'!$X$1:$X$50)),ROW(E6))),"")</f>
        <v/>
      </c>
      <c r="E20" s="31" t="str">
        <f t="array" ref="E20">IFERROR(INDEX('Za fakturisanje'!$X$1:$X$50,SMALL(IF(ISNUMBER('Za fakturisanje'!$X$1:$X$50),ROW('Za fakturisanje'!$X$1:$X$50)),ROW(E6))),"")</f>
        <v/>
      </c>
      <c r="F20" s="41" t="str">
        <f t="array" ref="F20">IFERROR(INDEX('Za fakturisanje'!$E$1:$E$50,SMALL(IF(ISNUMBER('Za fakturisanje'!$X$1:$X$50),ROW('Za fakturisanje'!$X$1:$X$50)),ROW(E6))),"")</f>
        <v/>
      </c>
      <c r="G20" s="33" t="str">
        <f t="shared" si="0"/>
        <v/>
      </c>
      <c r="H20" s="31" t="str">
        <f>IF(B20="","",VLOOKUP($C$12,kupci!$A:$J,6,FALSE))</f>
        <v/>
      </c>
      <c r="I20" s="41" t="str">
        <f t="shared" si="1"/>
        <v/>
      </c>
      <c r="J20" s="33" t="str">
        <f t="shared" si="2"/>
        <v/>
      </c>
      <c r="K20" s="33" t="str">
        <f t="shared" si="3"/>
        <v/>
      </c>
    </row>
    <row r="21" spans="1:12">
      <c r="A21" s="31" t="str">
        <f>IF(B21="","","7")</f>
        <v/>
      </c>
      <c r="B21" s="79" t="str">
        <f t="array" ref="B21">IFERROR(INDEX('Za fakturisanje'!$B$1:$B$50,SMALL(IF(ISNUMBER('Za fakturisanje'!$X$1:$X$50),ROW('Za fakturisanje'!$X$1:$X$50)),ROW(E7))),"")</f>
        <v/>
      </c>
      <c r="C21" s="49"/>
      <c r="D21" s="88" t="str">
        <f t="array" ref="D21">IFERROR(INDEX('Za fakturisanje'!$C$1:$C$50,SMALL(IF(ISNUMBER('Za fakturisanje'!$X$1:$X$50),ROW('Za fakturisanje'!$X$1:$X$50)),ROW(E7))),"")</f>
        <v/>
      </c>
      <c r="E21" s="31" t="str">
        <f t="array" ref="E21">IFERROR(INDEX('Za fakturisanje'!$X$1:$X$50,SMALL(IF(ISNUMBER('Za fakturisanje'!$X$1:$X$50),ROW('Za fakturisanje'!$X$1:$X$50)),ROW(E7))),"")</f>
        <v/>
      </c>
      <c r="F21" s="41" t="str">
        <f t="array" ref="F21">IFERROR(INDEX('Za fakturisanje'!$E$1:$E$50,SMALL(IF(ISNUMBER('Za fakturisanje'!$X$1:$X$50),ROW('Za fakturisanje'!$X$1:$X$50)),ROW(E7))),"")</f>
        <v/>
      </c>
      <c r="G21" s="33" t="str">
        <f t="shared" si="0"/>
        <v/>
      </c>
      <c r="H21" s="31" t="str">
        <f>IF(B21="","",VLOOKUP($C$12,kupci!$A:$J,6,FALSE))</f>
        <v/>
      </c>
      <c r="I21" s="41" t="str">
        <f t="shared" si="1"/>
        <v/>
      </c>
      <c r="J21" s="33" t="str">
        <f t="shared" si="2"/>
        <v/>
      </c>
      <c r="K21" s="33" t="str">
        <f t="shared" si="3"/>
        <v/>
      </c>
    </row>
    <row r="22" spans="1:12">
      <c r="A22" s="31" t="str">
        <f>IF(B22="","","8")</f>
        <v/>
      </c>
      <c r="B22" s="79" t="str">
        <f t="array" ref="B22">IFERROR(INDEX('Za fakturisanje'!$B$1:$B$50,SMALL(IF(ISNUMBER('Za fakturisanje'!$X$1:$X$50),ROW('Za fakturisanje'!$X$1:$X$50)),ROW(E8))),"")</f>
        <v/>
      </c>
      <c r="C22" s="49"/>
      <c r="D22" s="88" t="str">
        <f t="array" ref="D22">IFERROR(INDEX('Za fakturisanje'!$C$1:$C$50,SMALL(IF(ISNUMBER('Za fakturisanje'!$X$1:$X$50),ROW('Za fakturisanje'!$X$1:$X$50)),ROW(E8))),"")</f>
        <v/>
      </c>
      <c r="E22" s="31" t="str">
        <f t="array" ref="E22">IFERROR(INDEX('Za fakturisanje'!$X$1:$X$50,SMALL(IF(ISNUMBER('Za fakturisanje'!$X$1:$X$50),ROW('Za fakturisanje'!$X$1:$X$50)),ROW(E8))),"")</f>
        <v/>
      </c>
      <c r="F22" s="41" t="str">
        <f t="array" ref="F22">IFERROR(INDEX('Za fakturisanje'!$E$1:$E$50,SMALL(IF(ISNUMBER('Za fakturisanje'!$X$1:$X$50),ROW('Za fakturisanje'!$X$1:$X$50)),ROW(E8))),"")</f>
        <v/>
      </c>
      <c r="G22" s="33" t="str">
        <f t="shared" si="0"/>
        <v/>
      </c>
      <c r="H22" s="31" t="str">
        <f>IF(B22="","",VLOOKUP($C$12,kupci!$A:$J,6,FALSE))</f>
        <v/>
      </c>
      <c r="I22" s="41" t="str">
        <f t="shared" si="1"/>
        <v/>
      </c>
      <c r="J22" s="33" t="str">
        <f t="shared" si="2"/>
        <v/>
      </c>
      <c r="K22" s="33" t="str">
        <f t="shared" si="3"/>
        <v/>
      </c>
    </row>
    <row r="23" spans="1:12">
      <c r="A23" s="31" t="str">
        <f>IF(B23="","","9")</f>
        <v/>
      </c>
      <c r="B23" s="79" t="str">
        <f t="array" ref="B23">IFERROR(INDEX('Za fakturisanje'!$B$1:$B$50,SMALL(IF(ISNUMBER('Za fakturisanje'!$X$1:$X$50),ROW('Za fakturisanje'!$X$1:$X$50)),ROW(E9))),"")</f>
        <v/>
      </c>
      <c r="C23" s="51"/>
      <c r="D23" s="88" t="str">
        <f t="array" ref="D23">IFERROR(INDEX('Za fakturisanje'!$C$1:$C$50,SMALL(IF(ISNUMBER('Za fakturisanje'!$X$1:$X$50),ROW('Za fakturisanje'!$X$1:$X$50)),ROW(E9))),"")</f>
        <v/>
      </c>
      <c r="E23" s="31" t="str">
        <f t="array" ref="E23">IFERROR(INDEX('Za fakturisanje'!$X$1:$X$50,SMALL(IF(ISNUMBER('Za fakturisanje'!$X$1:$X$50),ROW('Za fakturisanje'!$X$1:$X$50)),ROW(E9))),"")</f>
        <v/>
      </c>
      <c r="F23" s="41" t="str">
        <f t="array" ref="F23">IFERROR(INDEX('Za fakturisanje'!$E$1:$E$50,SMALL(IF(ISNUMBER('Za fakturisanje'!$X$1:$X$50),ROW('Za fakturisanje'!$X$1:$X$50)),ROW(E9))),"")</f>
        <v/>
      </c>
      <c r="G23" s="33" t="str">
        <f t="shared" si="0"/>
        <v/>
      </c>
      <c r="H23" s="31" t="str">
        <f>IF(B23="","",VLOOKUP($C$12,kupci!$A:$J,6,FALSE))</f>
        <v/>
      </c>
      <c r="I23" s="41" t="str">
        <f t="shared" si="1"/>
        <v/>
      </c>
      <c r="J23" s="33" t="str">
        <f t="shared" si="2"/>
        <v/>
      </c>
      <c r="K23" s="33" t="str">
        <f t="shared" si="3"/>
        <v/>
      </c>
    </row>
    <row r="24" spans="1:12">
      <c r="A24" s="31" t="str">
        <f>IF(B24="","","10")</f>
        <v/>
      </c>
      <c r="B24" s="79" t="str">
        <f t="array" ref="B24">IFERROR(INDEX('Za fakturisanje'!$B$1:$B$50,SMALL(IF(ISNUMBER('Za fakturisanje'!$X$1:$X$50),ROW('Za fakturisanje'!$X$1:$X$50)),ROW(E10))),"")</f>
        <v/>
      </c>
      <c r="C24" s="52"/>
      <c r="D24" s="88" t="str">
        <f t="array" ref="D24">IFERROR(INDEX('Za fakturisanje'!$C$1:$C$50,SMALL(IF(ISNUMBER('Za fakturisanje'!$X$1:$X$50),ROW('Za fakturisanje'!$X$1:$X$50)),ROW(E10))),"")</f>
        <v/>
      </c>
      <c r="E24" s="31" t="str">
        <f t="array" ref="E24">IFERROR(INDEX('Za fakturisanje'!$X$1:$X$50,SMALL(IF(ISNUMBER('Za fakturisanje'!$X$1:$X$50),ROW('Za fakturisanje'!$X$1:$X$50)),ROW(E10))),"")</f>
        <v/>
      </c>
      <c r="F24" s="41" t="str">
        <f t="array" ref="F24">IFERROR(INDEX('Za fakturisanje'!$E$1:$E$50,SMALL(IF(ISNUMBER('Za fakturisanje'!$X$1:$X$50),ROW('Za fakturisanje'!$X$1:$X$50)),ROW(E10))),"")</f>
        <v/>
      </c>
      <c r="G24" s="33" t="str">
        <f t="shared" si="0"/>
        <v/>
      </c>
      <c r="H24" s="31" t="str">
        <f>IF(B24="","",VLOOKUP($C$12,kupci!$A:$J,6,FALSE))</f>
        <v/>
      </c>
      <c r="I24" s="41" t="str">
        <f t="shared" si="1"/>
        <v/>
      </c>
      <c r="J24" s="33" t="str">
        <f t="shared" si="2"/>
        <v/>
      </c>
      <c r="K24" s="33" t="str">
        <f t="shared" si="3"/>
        <v/>
      </c>
    </row>
    <row r="25" spans="1:12">
      <c r="A25" s="31" t="str">
        <f>IF(B25="","","11")</f>
        <v/>
      </c>
      <c r="B25" s="79" t="str">
        <f t="array" ref="B25">IFERROR(INDEX('Za fakturisanje'!$B$1:$B$50,SMALL(IF(ISNUMBER('Za fakturisanje'!$X$1:$X$50),ROW('Za fakturisanje'!$X$1:$X$50)),ROW(E11))),"")</f>
        <v/>
      </c>
      <c r="C25" s="48"/>
      <c r="D25" s="88" t="str">
        <f t="array" ref="D25">IFERROR(INDEX('Za fakturisanje'!$C$1:$C$50,SMALL(IF(ISNUMBER('Za fakturisanje'!$X$1:$X$50),ROW('Za fakturisanje'!$X$1:$X$50)),ROW(E11))),"")</f>
        <v/>
      </c>
      <c r="E25" s="31" t="str">
        <f t="array" ref="E25">IFERROR(INDEX('Za fakturisanje'!$X$1:$X$50,SMALL(IF(ISNUMBER('Za fakturisanje'!$X$1:$X$50),ROW('Za fakturisanje'!$X$1:$X$50)),ROW(E11))),"")</f>
        <v/>
      </c>
      <c r="F25" s="41" t="str">
        <f t="array" ref="F25">IFERROR(INDEX('Za fakturisanje'!$E$1:$E$50,SMALL(IF(ISNUMBER('Za fakturisanje'!$X$1:$X$50),ROW('Za fakturisanje'!$X$1:$X$50)),ROW(E11))),"")</f>
        <v/>
      </c>
      <c r="G25" s="33" t="str">
        <f t="shared" si="0"/>
        <v/>
      </c>
      <c r="H25" s="31" t="str">
        <f>IF(B25="","",VLOOKUP($C$12,kupci!$A:$J,6,FALSE))</f>
        <v/>
      </c>
      <c r="I25" s="41" t="str">
        <f t="shared" si="1"/>
        <v/>
      </c>
      <c r="J25" s="33" t="str">
        <f t="shared" si="2"/>
        <v/>
      </c>
      <c r="K25" s="33" t="str">
        <f t="shared" si="3"/>
        <v/>
      </c>
    </row>
    <row r="26" spans="1:12">
      <c r="A26" s="31" t="str">
        <f>IF(B26="","","12")</f>
        <v/>
      </c>
      <c r="B26" s="79" t="str">
        <f t="array" ref="B26">IFERROR(INDEX('Za fakturisanje'!$B$1:$B$50,SMALL(IF(ISNUMBER('Za fakturisanje'!$X$1:$X$50),ROW('Za fakturisanje'!$X$1:$X$50)),ROW(E12))),"")</f>
        <v/>
      </c>
      <c r="C26" s="49"/>
      <c r="D26" s="88" t="str">
        <f t="array" ref="D26">IFERROR(INDEX('Za fakturisanje'!$C$1:$C$50,SMALL(IF(ISNUMBER('Za fakturisanje'!$X$1:$X$50),ROW('Za fakturisanje'!$X$1:$X$50)),ROW(E12))),"")</f>
        <v/>
      </c>
      <c r="E26" s="31" t="str">
        <f t="array" ref="E26">IFERROR(INDEX('Za fakturisanje'!$X$1:$X$50,SMALL(IF(ISNUMBER('Za fakturisanje'!$X$1:$X$50),ROW('Za fakturisanje'!$X$1:$X$50)),ROW(E12))),"")</f>
        <v/>
      </c>
      <c r="F26" s="41" t="str">
        <f t="array" ref="F26">IFERROR(INDEX('Za fakturisanje'!$E$1:$E$50,SMALL(IF(ISNUMBER('Za fakturisanje'!$X$1:$X$50),ROW('Za fakturisanje'!$X$1:$X$50)),ROW(E12))),"")</f>
        <v/>
      </c>
      <c r="G26" s="33" t="str">
        <f t="shared" si="0"/>
        <v/>
      </c>
      <c r="H26" s="31" t="str">
        <f>IF(B26="","",VLOOKUP($C$12,kupci!$A:$J,6,FALSE))</f>
        <v/>
      </c>
      <c r="I26" s="41" t="str">
        <f t="shared" si="1"/>
        <v/>
      </c>
      <c r="J26" s="33" t="str">
        <f t="shared" si="2"/>
        <v/>
      </c>
      <c r="K26" s="33" t="str">
        <f t="shared" si="3"/>
        <v/>
      </c>
    </row>
    <row r="27" spans="1:12">
      <c r="A27" s="31" t="str">
        <f>IF(B27="","","13")</f>
        <v/>
      </c>
      <c r="B27" s="79" t="str">
        <f t="array" ref="B27">IFERROR(INDEX('Za fakturisanje'!$B$1:$B$50,SMALL(IF(ISNUMBER('Za fakturisanje'!$X$1:$X$50),ROW('Za fakturisanje'!$X$1:$X$50)),ROW(E13))),"")</f>
        <v/>
      </c>
      <c r="C27" s="50"/>
      <c r="D27" s="88" t="str">
        <f t="array" ref="D27">IFERROR(INDEX('Za fakturisanje'!$C$1:$C$50,SMALL(IF(ISNUMBER('Za fakturisanje'!$X$1:$X$50),ROW('Za fakturisanje'!$X$1:$X$50)),ROW(E13))),"")</f>
        <v/>
      </c>
      <c r="E27" s="31" t="str">
        <f t="array" ref="E27">IFERROR(INDEX('Za fakturisanje'!$X$1:$X$50,SMALL(IF(ISNUMBER('Za fakturisanje'!$X$1:$X$50),ROW('Za fakturisanje'!$X$1:$X$50)),ROW(E13))),"")</f>
        <v/>
      </c>
      <c r="F27" s="41" t="str">
        <f t="array" ref="F27">IFERROR(INDEX('Za fakturisanje'!$E$1:$E$50,SMALL(IF(ISNUMBER('Za fakturisanje'!$X$1:$X$50),ROW('Za fakturisanje'!$X$1:$X$50)),ROW(E13))),"")</f>
        <v/>
      </c>
      <c r="G27" s="33" t="str">
        <f t="shared" si="0"/>
        <v/>
      </c>
      <c r="H27" s="31" t="str">
        <f>IF(B27="","",VLOOKUP($C$12,kupci!$A:$J,6,FALSE))</f>
        <v/>
      </c>
      <c r="I27" s="41" t="str">
        <f t="shared" si="1"/>
        <v/>
      </c>
      <c r="J27" s="33" t="str">
        <f t="shared" si="2"/>
        <v/>
      </c>
      <c r="K27" s="33" t="str">
        <f t="shared" si="3"/>
        <v/>
      </c>
    </row>
    <row r="28" spans="1:12">
      <c r="A28" s="31"/>
      <c r="B28" s="196"/>
      <c r="C28" s="197"/>
      <c r="D28" s="32"/>
      <c r="E28" s="36">
        <f>SUM(E15:E27)</f>
        <v>0</v>
      </c>
      <c r="F28" s="34"/>
      <c r="G28" s="33">
        <f>SUM(G15:G27)</f>
        <v>0</v>
      </c>
      <c r="H28" s="36"/>
      <c r="I28" s="34">
        <f>SUM(I15:I27)</f>
        <v>0</v>
      </c>
      <c r="J28" s="34">
        <f>+G28-I28</f>
        <v>0</v>
      </c>
      <c r="K28" s="34">
        <f>+J28*1.17</f>
        <v>0</v>
      </c>
    </row>
    <row r="29" spans="1:12">
      <c r="A29" s="37"/>
      <c r="B29" s="38"/>
      <c r="C29" s="38"/>
      <c r="D29" s="38"/>
      <c r="E29" s="38"/>
      <c r="F29" s="38"/>
      <c r="G29" s="38"/>
      <c r="H29" s="38"/>
      <c r="I29" s="38"/>
      <c r="J29" s="39"/>
      <c r="K29" s="39"/>
    </row>
    <row r="30" spans="1:12">
      <c r="A30" s="37"/>
      <c r="B30" s="38"/>
      <c r="C30" s="38"/>
      <c r="D30" s="38"/>
      <c r="E30" s="38"/>
      <c r="F30" s="38"/>
      <c r="G30" s="78" t="s">
        <v>302</v>
      </c>
      <c r="H30" s="32"/>
      <c r="I30" s="40"/>
      <c r="J30" s="70"/>
      <c r="K30" s="72">
        <f>TRUNC(ROUND(+G28*1,2),2)</f>
        <v>0</v>
      </c>
      <c r="L30" s="74" t="s">
        <v>303</v>
      </c>
    </row>
    <row r="31" spans="1:12">
      <c r="A31" s="37"/>
      <c r="B31" s="38"/>
      <c r="C31" s="38"/>
      <c r="D31" s="38"/>
      <c r="E31" s="38"/>
      <c r="F31" s="38"/>
      <c r="G31" s="79" t="s">
        <v>304</v>
      </c>
      <c r="H31" s="67"/>
      <c r="I31" s="68"/>
      <c r="J31" s="69"/>
      <c r="K31" s="69">
        <f>TRUNC(ROUND(+I28*1,2),2)</f>
        <v>0</v>
      </c>
      <c r="L31" s="75" t="s">
        <v>303</v>
      </c>
    </row>
    <row r="32" spans="1:12">
      <c r="A32" s="37"/>
      <c r="B32" s="38"/>
      <c r="C32" s="38"/>
      <c r="D32" s="38"/>
      <c r="E32" s="38"/>
      <c r="F32" s="38"/>
      <c r="G32" s="78" t="s">
        <v>305</v>
      </c>
      <c r="H32" s="32"/>
      <c r="I32" s="71"/>
      <c r="J32" s="72"/>
      <c r="K32" s="72">
        <f>TRUNC(ROUND(+J28*1,2),2)</f>
        <v>0</v>
      </c>
      <c r="L32" s="74" t="s">
        <v>303</v>
      </c>
    </row>
    <row r="33" spans="1:12">
      <c r="A33" s="37"/>
      <c r="B33" s="38"/>
      <c r="C33" s="38"/>
      <c r="D33" s="38"/>
      <c r="E33" s="38"/>
      <c r="F33" s="38"/>
      <c r="G33" s="79" t="s">
        <v>306</v>
      </c>
      <c r="H33" s="67"/>
      <c r="I33" s="68"/>
      <c r="J33" s="69"/>
      <c r="K33" s="69">
        <f>TRUNC(ROUND(K28-J28,2),2)</f>
        <v>0</v>
      </c>
      <c r="L33" s="75" t="s">
        <v>303</v>
      </c>
    </row>
    <row r="34" spans="1:12" ht="15.6">
      <c r="B34" s="38"/>
      <c r="C34" s="38"/>
      <c r="D34" s="38"/>
      <c r="E34" s="38"/>
      <c r="F34" s="38"/>
      <c r="G34" s="80" t="s">
        <v>307</v>
      </c>
      <c r="H34" s="42"/>
      <c r="I34" s="43"/>
      <c r="J34" s="73"/>
      <c r="K34" s="76">
        <f>TRUNC(ROUND(+K32+K33,2),2)</f>
        <v>0</v>
      </c>
      <c r="L34" s="77" t="s">
        <v>303</v>
      </c>
    </row>
    <row r="43" spans="1:12">
      <c r="B43" s="10" t="s">
        <v>308</v>
      </c>
      <c r="H43" s="10" t="s">
        <v>288</v>
      </c>
    </row>
  </sheetData>
  <sheetProtection sheet="1" objects="1" scenarios="1"/>
  <mergeCells count="11">
    <mergeCell ref="M1:N1"/>
    <mergeCell ref="J2:K2"/>
    <mergeCell ref="J3:K3"/>
    <mergeCell ref="J4:K4"/>
    <mergeCell ref="H11:I11"/>
    <mergeCell ref="J11:K11"/>
    <mergeCell ref="H12:I12"/>
    <mergeCell ref="J12:K12"/>
    <mergeCell ref="B14:C14"/>
    <mergeCell ref="B28:C28"/>
    <mergeCell ref="J1:K1"/>
  </mergeCells>
  <pageMargins left="0.62992125984251968" right="0.23622047244094491" top="0.74803149606299213" bottom="0.74803149606299213" header="0.31496062992125984" footer="0.31496062992125984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</dc:creator>
  <cp:keywords/>
  <dc:description/>
  <cp:lastModifiedBy>Guest User</cp:lastModifiedBy>
  <cp:revision/>
  <dcterms:created xsi:type="dcterms:W3CDTF">2021-04-19T16:02:09Z</dcterms:created>
  <dcterms:modified xsi:type="dcterms:W3CDTF">2022-03-15T20:08:52Z</dcterms:modified>
  <cp:category/>
  <cp:contentStatus/>
</cp:coreProperties>
</file>